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assiw\Desktop\R-Ing\Supports\TDs et projets ACV\TP - Feutre sur Tableur Excel\"/>
    </mc:Choice>
  </mc:AlternateContent>
  <xr:revisionPtr revIDLastSave="0" documentId="13_ncr:1_{23A33020-291B-4F1A-9B8E-E9EE66DBEB52}" xr6:coauthVersionLast="36" xr6:coauthVersionMax="36" xr10:uidLastSave="{00000000-0000-0000-0000-000000000000}"/>
  <bookViews>
    <workbookView xWindow="0" yWindow="0" windowWidth="16000" windowHeight="6270" xr2:uid="{13E803FD-8611-4D79-9157-0003F1B604B7}"/>
  </bookViews>
  <sheets>
    <sheet name="Infos générales + guide" sheetId="2" r:id="rId1"/>
    <sheet name="Scénario 1" sheetId="1" r:id="rId2"/>
    <sheet name="Scénario 2" sheetId="3" r:id="rId3"/>
    <sheet name="Scénario 3" sheetId="4" r:id="rId4"/>
    <sheet name="Comparaison des scénarios" sheetId="6" r:id="rId5"/>
    <sheet name="Synthèse par scénario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5" l="1"/>
  <c r="O4" i="5"/>
  <c r="P4" i="5"/>
  <c r="M5" i="5"/>
  <c r="N5" i="5"/>
  <c r="M6" i="5"/>
  <c r="N6" i="5"/>
  <c r="M7" i="5"/>
  <c r="N7" i="5"/>
  <c r="O7" i="5"/>
  <c r="P7" i="5"/>
  <c r="M8" i="5"/>
  <c r="N8" i="5"/>
  <c r="O8" i="5"/>
  <c r="P8" i="5"/>
  <c r="M9" i="5"/>
  <c r="M10" i="5"/>
  <c r="N10" i="5"/>
  <c r="O10" i="5"/>
  <c r="P10" i="5"/>
  <c r="N27" i="5"/>
  <c r="O27" i="5"/>
  <c r="P27" i="5"/>
  <c r="M28" i="5"/>
  <c r="N28" i="5"/>
  <c r="M29" i="5"/>
  <c r="M30" i="5"/>
  <c r="N30" i="5"/>
  <c r="O30" i="5"/>
  <c r="P30" i="5"/>
  <c r="M31" i="5"/>
  <c r="N48" i="5"/>
  <c r="O48" i="5"/>
  <c r="P48" i="5"/>
  <c r="M49" i="5"/>
  <c r="M50" i="5"/>
  <c r="N50" i="5"/>
  <c r="O50" i="5"/>
  <c r="P50" i="5"/>
  <c r="M51" i="5"/>
  <c r="N51" i="5"/>
  <c r="O51" i="5"/>
  <c r="P51" i="5"/>
  <c r="M52" i="5"/>
  <c r="N52" i="5"/>
  <c r="O52" i="5"/>
  <c r="P52" i="5"/>
  <c r="M53" i="5"/>
  <c r="I4" i="5"/>
  <c r="J4" i="5"/>
  <c r="K4" i="5"/>
  <c r="H5" i="5"/>
  <c r="H6" i="5"/>
  <c r="H7" i="5"/>
  <c r="H8" i="5"/>
  <c r="H9" i="5"/>
  <c r="H10" i="5"/>
  <c r="I27" i="5"/>
  <c r="J27" i="5"/>
  <c r="K27" i="5"/>
  <c r="H28" i="5"/>
  <c r="H29" i="5"/>
  <c r="H30" i="5"/>
  <c r="H31" i="5"/>
  <c r="I48" i="5"/>
  <c r="J48" i="5"/>
  <c r="K48" i="5"/>
  <c r="H49" i="5"/>
  <c r="H50" i="5"/>
  <c r="H51" i="5"/>
  <c r="H52" i="5"/>
  <c r="H53" i="5"/>
  <c r="C4" i="5"/>
  <c r="D4" i="5"/>
  <c r="E4" i="5"/>
  <c r="B5" i="5"/>
  <c r="C5" i="5"/>
  <c r="D5" i="5"/>
  <c r="B6" i="5"/>
  <c r="C6" i="5"/>
  <c r="D6" i="5"/>
  <c r="B7" i="5"/>
  <c r="C7" i="5"/>
  <c r="D7" i="5"/>
  <c r="E7" i="5"/>
  <c r="B8" i="5"/>
  <c r="C8" i="5"/>
  <c r="D8" i="5"/>
  <c r="E8" i="5"/>
  <c r="B9" i="5"/>
  <c r="B10" i="5"/>
  <c r="C10" i="5"/>
  <c r="D10" i="5"/>
  <c r="E10" i="5"/>
  <c r="C27" i="5"/>
  <c r="D27" i="5"/>
  <c r="E27" i="5"/>
  <c r="B28" i="5"/>
  <c r="C28" i="5"/>
  <c r="D28" i="5"/>
  <c r="B29" i="5"/>
  <c r="B30" i="5"/>
  <c r="C30" i="5"/>
  <c r="D30" i="5"/>
  <c r="E30" i="5"/>
  <c r="B31" i="5"/>
  <c r="C48" i="5"/>
  <c r="D48" i="5"/>
  <c r="E48" i="5"/>
  <c r="B49" i="5"/>
  <c r="B50" i="5"/>
  <c r="C50" i="5"/>
  <c r="D50" i="5"/>
  <c r="E50" i="5"/>
  <c r="B51" i="5"/>
  <c r="C51" i="5"/>
  <c r="D51" i="5"/>
  <c r="E51" i="5"/>
  <c r="B52" i="5"/>
  <c r="C52" i="5"/>
  <c r="D52" i="5"/>
  <c r="E52" i="5"/>
  <c r="B53" i="5"/>
  <c r="F66" i="1"/>
  <c r="E66" i="1"/>
  <c r="D66" i="1"/>
  <c r="F65" i="1"/>
  <c r="E65" i="1"/>
  <c r="D65" i="1"/>
  <c r="F64" i="1"/>
  <c r="E64" i="1"/>
  <c r="D64" i="1"/>
  <c r="F59" i="1"/>
  <c r="E59" i="1"/>
  <c r="D59" i="1"/>
  <c r="E57" i="1"/>
  <c r="D57" i="1"/>
  <c r="F54" i="1"/>
  <c r="E54" i="1"/>
  <c r="D54" i="1"/>
  <c r="F52" i="1"/>
  <c r="E52" i="1"/>
  <c r="D52" i="1"/>
  <c r="F51" i="1"/>
  <c r="E51" i="1"/>
  <c r="D51" i="1"/>
  <c r="E50" i="1"/>
  <c r="D50" i="1"/>
  <c r="E49" i="1"/>
  <c r="D49" i="1"/>
  <c r="F66" i="4"/>
  <c r="E66" i="4"/>
  <c r="D66" i="4"/>
  <c r="F65" i="4"/>
  <c r="E65" i="4"/>
  <c r="D65" i="4"/>
  <c r="F64" i="4"/>
  <c r="E64" i="4"/>
  <c r="D64" i="4"/>
  <c r="F59" i="4"/>
  <c r="E59" i="4"/>
  <c r="D59" i="4"/>
  <c r="D57" i="4"/>
  <c r="F54" i="4"/>
  <c r="E54" i="4"/>
  <c r="D54" i="4"/>
  <c r="F52" i="4"/>
  <c r="E52" i="4"/>
  <c r="D52" i="4"/>
  <c r="F51" i="4"/>
  <c r="E51" i="4"/>
  <c r="D51" i="4"/>
  <c r="D49" i="4"/>
  <c r="D50" i="4"/>
  <c r="E33" i="4"/>
  <c r="E33" i="3"/>
  <c r="M33" i="3" s="1"/>
  <c r="M36" i="4"/>
  <c r="K36" i="4"/>
  <c r="I36" i="4"/>
  <c r="E36" i="1"/>
  <c r="E36" i="4"/>
  <c r="M20" i="1"/>
  <c r="K20" i="1"/>
  <c r="I20" i="1"/>
  <c r="M15" i="4"/>
  <c r="K15" i="4"/>
  <c r="I15" i="4"/>
  <c r="M17" i="1"/>
  <c r="K17" i="1"/>
  <c r="I17" i="1"/>
  <c r="M10" i="1"/>
  <c r="K10" i="1"/>
  <c r="I10" i="1"/>
  <c r="M7" i="1"/>
  <c r="K7" i="1"/>
  <c r="I7" i="1"/>
  <c r="M10" i="4"/>
  <c r="K10" i="4"/>
  <c r="I10" i="4"/>
  <c r="M13" i="4"/>
  <c r="K13" i="4"/>
  <c r="I13" i="4"/>
  <c r="M13" i="1"/>
  <c r="K13" i="1"/>
  <c r="I13" i="1"/>
  <c r="M18" i="1"/>
  <c r="K18" i="1"/>
  <c r="I18" i="1"/>
  <c r="M11" i="1"/>
  <c r="K11" i="1"/>
  <c r="I11" i="1"/>
  <c r="M8" i="1"/>
  <c r="K8" i="1"/>
  <c r="I8" i="1"/>
  <c r="M11" i="4"/>
  <c r="K11" i="4"/>
  <c r="I11" i="4"/>
  <c r="K8" i="4"/>
  <c r="M8" i="4"/>
  <c r="M33" i="1"/>
  <c r="E33" i="1"/>
  <c r="K33" i="1" s="1"/>
  <c r="M30" i="1"/>
  <c r="K30" i="1"/>
  <c r="I30" i="1"/>
  <c r="M39" i="1"/>
  <c r="K39" i="1"/>
  <c r="I39" i="1"/>
  <c r="M27" i="1"/>
  <c r="K27" i="1"/>
  <c r="I27" i="1"/>
  <c r="M25" i="1"/>
  <c r="K25" i="1"/>
  <c r="I25" i="1"/>
  <c r="M23" i="1"/>
  <c r="K23" i="1"/>
  <c r="I23" i="1"/>
  <c r="M27" i="4"/>
  <c r="K27" i="4"/>
  <c r="I27" i="4"/>
  <c r="I23" i="4"/>
  <c r="E43" i="1"/>
  <c r="M43" i="1" s="1"/>
  <c r="E42" i="1"/>
  <c r="M42" i="1" s="1"/>
  <c r="E41" i="1"/>
  <c r="M41" i="1" s="1"/>
  <c r="E18" i="1"/>
  <c r="E17" i="1"/>
  <c r="I33" i="1" l="1"/>
  <c r="I33" i="3"/>
  <c r="K33" i="3"/>
  <c r="I42" i="1"/>
  <c r="I41" i="1"/>
  <c r="K42" i="1"/>
  <c r="I43" i="1"/>
  <c r="K41" i="1"/>
  <c r="K43" i="1"/>
  <c r="E18" i="3" l="1"/>
  <c r="E17" i="3"/>
  <c r="E23" i="3" s="1"/>
  <c r="M35" i="4"/>
  <c r="M34" i="4" s="1"/>
  <c r="K35" i="4"/>
  <c r="K34" i="4" s="1"/>
  <c r="I35" i="4"/>
  <c r="I34" i="4" s="1"/>
  <c r="E20" i="4"/>
  <c r="K20" i="4" s="1"/>
  <c r="K19" i="4" s="1"/>
  <c r="E18" i="4"/>
  <c r="I18" i="4" s="1"/>
  <c r="E17" i="4"/>
  <c r="M17" i="4" s="1"/>
  <c r="E15" i="4"/>
  <c r="M14" i="4" s="1"/>
  <c r="E13" i="4"/>
  <c r="M12" i="4" s="1"/>
  <c r="E11" i="4"/>
  <c r="E10" i="4"/>
  <c r="E8" i="4"/>
  <c r="E7" i="4"/>
  <c r="M7" i="4" s="1"/>
  <c r="E20" i="3"/>
  <c r="E15" i="3"/>
  <c r="E13" i="3"/>
  <c r="M13" i="3" s="1"/>
  <c r="M12" i="3" s="1"/>
  <c r="F51" i="3" s="1"/>
  <c r="K7" i="5" s="1"/>
  <c r="E11" i="3"/>
  <c r="E10" i="3"/>
  <c r="E8" i="3"/>
  <c r="E7" i="3"/>
  <c r="K36" i="1"/>
  <c r="I36" i="1"/>
  <c r="I35" i="1" s="1"/>
  <c r="I34" i="1" s="1"/>
  <c r="E20" i="1"/>
  <c r="E15" i="1"/>
  <c r="I15" i="1" s="1"/>
  <c r="E13" i="1"/>
  <c r="E11" i="1"/>
  <c r="E10" i="1"/>
  <c r="E8" i="1"/>
  <c r="E7" i="1"/>
  <c r="K8" i="3" l="1"/>
  <c r="I8" i="3"/>
  <c r="M8" i="3"/>
  <c r="E41" i="3"/>
  <c r="M7" i="3"/>
  <c r="K7" i="3"/>
  <c r="K6" i="3" s="1"/>
  <c r="E49" i="3" s="1"/>
  <c r="J5" i="5" s="1"/>
  <c r="I7" i="3"/>
  <c r="M18" i="3"/>
  <c r="K18" i="3"/>
  <c r="I18" i="3"/>
  <c r="M10" i="3"/>
  <c r="K10" i="3"/>
  <c r="K9" i="3" s="1"/>
  <c r="E50" i="3" s="1"/>
  <c r="J6" i="5" s="1"/>
  <c r="I10" i="3"/>
  <c r="K13" i="3"/>
  <c r="K12" i="3" s="1"/>
  <c r="E51" i="3" s="1"/>
  <c r="J7" i="5" s="1"/>
  <c r="E42" i="3"/>
  <c r="M11" i="3"/>
  <c r="K11" i="3"/>
  <c r="I11" i="3"/>
  <c r="I15" i="3"/>
  <c r="I14" i="3" s="1"/>
  <c r="D52" i="3" s="1"/>
  <c r="I8" i="5" s="1"/>
  <c r="E43" i="3"/>
  <c r="M15" i="3"/>
  <c r="M14" i="3" s="1"/>
  <c r="F52" i="3" s="1"/>
  <c r="K8" i="5" s="1"/>
  <c r="K15" i="3"/>
  <c r="K14" i="3" s="1"/>
  <c r="E52" i="3" s="1"/>
  <c r="J8" i="5" s="1"/>
  <c r="I19" i="3"/>
  <c r="D54" i="3" s="1"/>
  <c r="I10" i="5" s="1"/>
  <c r="K20" i="3"/>
  <c r="E36" i="3"/>
  <c r="I20" i="3"/>
  <c r="M20" i="3"/>
  <c r="M23" i="3"/>
  <c r="K23" i="3"/>
  <c r="I23" i="3"/>
  <c r="M6" i="4"/>
  <c r="F49" i="4" s="1"/>
  <c r="P5" i="5" s="1"/>
  <c r="I19" i="1"/>
  <c r="E39" i="1"/>
  <c r="E41" i="4"/>
  <c r="E42" i="4"/>
  <c r="E43" i="4"/>
  <c r="I43" i="4" s="1"/>
  <c r="E45" i="4"/>
  <c r="M45" i="4" s="1"/>
  <c r="E39" i="4"/>
  <c r="I39" i="4" s="1"/>
  <c r="I38" i="4" s="1"/>
  <c r="M18" i="4"/>
  <c r="M16" i="4" s="1"/>
  <c r="E39" i="3"/>
  <c r="M20" i="4"/>
  <c r="M19" i="4" s="1"/>
  <c r="I20" i="4"/>
  <c r="I19" i="4" s="1"/>
  <c r="I17" i="4"/>
  <c r="I16" i="4" s="1"/>
  <c r="K33" i="4"/>
  <c r="K32" i="4" s="1"/>
  <c r="K31" i="4" s="1"/>
  <c r="K7" i="4"/>
  <c r="K12" i="4"/>
  <c r="I8" i="4"/>
  <c r="E25" i="4"/>
  <c r="K25" i="4" s="1"/>
  <c r="I9" i="4"/>
  <c r="K18" i="4"/>
  <c r="I13" i="3"/>
  <c r="I12" i="3" s="1"/>
  <c r="D51" i="3" s="1"/>
  <c r="I7" i="5" s="1"/>
  <c r="K19" i="3"/>
  <c r="E54" i="3" s="1"/>
  <c r="J10" i="5" s="1"/>
  <c r="M19" i="3"/>
  <c r="F54" i="3" s="1"/>
  <c r="K10" i="5" s="1"/>
  <c r="K15" i="1"/>
  <c r="K14" i="1" s="1"/>
  <c r="I6" i="1"/>
  <c r="I12" i="1"/>
  <c r="K12" i="1"/>
  <c r="K9" i="1"/>
  <c r="E25" i="3"/>
  <c r="E27" i="3"/>
  <c r="M32" i="3"/>
  <c r="M31" i="3" s="1"/>
  <c r="F64" i="3" s="1"/>
  <c r="K50" i="5" s="1"/>
  <c r="E30" i="3"/>
  <c r="I17" i="3"/>
  <c r="K17" i="3"/>
  <c r="M17" i="3"/>
  <c r="I14" i="4"/>
  <c r="K17" i="4"/>
  <c r="E23" i="4"/>
  <c r="E27" i="4"/>
  <c r="I12" i="4"/>
  <c r="K14" i="4"/>
  <c r="E30" i="4"/>
  <c r="K9" i="4"/>
  <c r="E50" i="4" s="1"/>
  <c r="O6" i="5" s="1"/>
  <c r="I7" i="4"/>
  <c r="M19" i="1"/>
  <c r="K6" i="1"/>
  <c r="M9" i="1"/>
  <c r="F50" i="1" s="1"/>
  <c r="E6" i="5" s="1"/>
  <c r="K16" i="1"/>
  <c r="K35" i="1"/>
  <c r="K34" i="1" s="1"/>
  <c r="K19" i="1"/>
  <c r="I16" i="1"/>
  <c r="I14" i="1"/>
  <c r="E30" i="1"/>
  <c r="I9" i="1"/>
  <c r="M38" i="1"/>
  <c r="M37" i="1" s="1"/>
  <c r="I9" i="3" l="1"/>
  <c r="D50" i="3" s="1"/>
  <c r="I6" i="5" s="1"/>
  <c r="M6" i="3"/>
  <c r="F49" i="3" s="1"/>
  <c r="K5" i="5" s="1"/>
  <c r="I16" i="3"/>
  <c r="K42" i="3"/>
  <c r="M42" i="3"/>
  <c r="I42" i="3"/>
  <c r="M41" i="3"/>
  <c r="K41" i="3"/>
  <c r="I41" i="3"/>
  <c r="K27" i="3"/>
  <c r="I27" i="3"/>
  <c r="I21" i="3" s="1"/>
  <c r="M27" i="3"/>
  <c r="M21" i="3" s="1"/>
  <c r="F58" i="3" s="1"/>
  <c r="K29" i="5" s="1"/>
  <c r="M25" i="3"/>
  <c r="K25" i="3"/>
  <c r="I25" i="3"/>
  <c r="K36" i="3"/>
  <c r="K35" i="3" s="1"/>
  <c r="K34" i="3" s="1"/>
  <c r="E65" i="3" s="1"/>
  <c r="J51" i="5" s="1"/>
  <c r="I36" i="3"/>
  <c r="I35" i="3" s="1"/>
  <c r="I34" i="3" s="1"/>
  <c r="D65" i="3" s="1"/>
  <c r="I51" i="5" s="1"/>
  <c r="M36" i="3"/>
  <c r="M35" i="3" s="1"/>
  <c r="M34" i="3" s="1"/>
  <c r="F65" i="3" s="1"/>
  <c r="K51" i="5" s="1"/>
  <c r="M29" i="3"/>
  <c r="M28" i="3" s="1"/>
  <c r="F59" i="3" s="1"/>
  <c r="K30" i="5" s="1"/>
  <c r="I30" i="3"/>
  <c r="I29" i="3" s="1"/>
  <c r="I28" i="3" s="1"/>
  <c r="D59" i="3" s="1"/>
  <c r="I30" i="5" s="1"/>
  <c r="M30" i="3"/>
  <c r="K30" i="3"/>
  <c r="M43" i="3"/>
  <c r="K43" i="3"/>
  <c r="I43" i="3"/>
  <c r="M39" i="3"/>
  <c r="M38" i="3" s="1"/>
  <c r="M37" i="3" s="1"/>
  <c r="F66" i="3" s="1"/>
  <c r="K52" i="5" s="1"/>
  <c r="K39" i="3"/>
  <c r="K38" i="3" s="1"/>
  <c r="K37" i="3" s="1"/>
  <c r="E66" i="3" s="1"/>
  <c r="J52" i="5" s="1"/>
  <c r="I39" i="3"/>
  <c r="I40" i="1"/>
  <c r="K43" i="4"/>
  <c r="M44" i="4"/>
  <c r="M43" i="4"/>
  <c r="M42" i="4"/>
  <c r="K42" i="4"/>
  <c r="I42" i="4"/>
  <c r="I41" i="4"/>
  <c r="K41" i="4"/>
  <c r="M41" i="4"/>
  <c r="I38" i="3"/>
  <c r="K45" i="4"/>
  <c r="K44" i="4" s="1"/>
  <c r="I45" i="4"/>
  <c r="I25" i="4"/>
  <c r="I6" i="4"/>
  <c r="I5" i="4" s="1"/>
  <c r="M9" i="4"/>
  <c r="K39" i="4"/>
  <c r="K38" i="4" s="1"/>
  <c r="M39" i="4"/>
  <c r="M38" i="4" s="1"/>
  <c r="K6" i="4"/>
  <c r="E49" i="4" s="1"/>
  <c r="O5" i="5" s="1"/>
  <c r="M25" i="4"/>
  <c r="I33" i="4"/>
  <c r="I32" i="4" s="1"/>
  <c r="I31" i="4" s="1"/>
  <c r="K16" i="4"/>
  <c r="M33" i="4"/>
  <c r="M32" i="4" s="1"/>
  <c r="M31" i="4" s="1"/>
  <c r="M16" i="3"/>
  <c r="I6" i="3"/>
  <c r="M9" i="3"/>
  <c r="F50" i="3" s="1"/>
  <c r="K6" i="5" s="1"/>
  <c r="K16" i="3"/>
  <c r="I38" i="1"/>
  <c r="K38" i="1"/>
  <c r="K37" i="1" s="1"/>
  <c r="I29" i="1"/>
  <c r="I28" i="1" s="1"/>
  <c r="K29" i="1"/>
  <c r="K28" i="1" s="1"/>
  <c r="I5" i="1"/>
  <c r="K29" i="3"/>
  <c r="K28" i="3" s="1"/>
  <c r="E59" i="3" s="1"/>
  <c r="J30" i="5" s="1"/>
  <c r="I32" i="3"/>
  <c r="I31" i="3" s="1"/>
  <c r="K32" i="3"/>
  <c r="K31" i="3" s="1"/>
  <c r="E64" i="3" s="1"/>
  <c r="J50" i="5" s="1"/>
  <c r="M23" i="4"/>
  <c r="K23" i="4"/>
  <c r="M30" i="4"/>
  <c r="M29" i="4" s="1"/>
  <c r="M28" i="4" s="1"/>
  <c r="I30" i="4"/>
  <c r="I29" i="4" s="1"/>
  <c r="I28" i="4" s="1"/>
  <c r="K30" i="4"/>
  <c r="K29" i="4" s="1"/>
  <c r="K28" i="4" s="1"/>
  <c r="M15" i="1"/>
  <c r="M14" i="1" s="1"/>
  <c r="M6" i="1"/>
  <c r="F49" i="1" s="1"/>
  <c r="E5" i="5" s="1"/>
  <c r="M16" i="1"/>
  <c r="K5" i="1"/>
  <c r="M36" i="1"/>
  <c r="M35" i="1" s="1"/>
  <c r="M34" i="1" s="1"/>
  <c r="M29" i="1"/>
  <c r="M28" i="1" s="1"/>
  <c r="M12" i="1"/>
  <c r="M5" i="4" l="1"/>
  <c r="F57" i="4" s="1"/>
  <c r="F50" i="4"/>
  <c r="P6" i="5" s="1"/>
  <c r="I5" i="3"/>
  <c r="D57" i="3" s="1"/>
  <c r="I28" i="5" s="1"/>
  <c r="D49" i="3"/>
  <c r="I5" i="5" s="1"/>
  <c r="D64" i="3"/>
  <c r="I50" i="5" s="1"/>
  <c r="I40" i="3"/>
  <c r="I37" i="3" s="1"/>
  <c r="D66" i="3" s="1"/>
  <c r="I52" i="5" s="1"/>
  <c r="K40" i="3"/>
  <c r="D53" i="3"/>
  <c r="I9" i="5" s="1"/>
  <c r="D58" i="3"/>
  <c r="F53" i="3"/>
  <c r="K9" i="5" s="1"/>
  <c r="K5" i="3"/>
  <c r="E57" i="3" s="1"/>
  <c r="K40" i="4"/>
  <c r="K37" i="4" s="1"/>
  <c r="K21" i="4"/>
  <c r="E58" i="4" s="1"/>
  <c r="O29" i="5" s="1"/>
  <c r="M21" i="4"/>
  <c r="K5" i="4"/>
  <c r="I44" i="4"/>
  <c r="M40" i="3"/>
  <c r="M40" i="4"/>
  <c r="M37" i="4" s="1"/>
  <c r="I40" i="4"/>
  <c r="M5" i="3"/>
  <c r="I21" i="4"/>
  <c r="K21" i="3"/>
  <c r="E58" i="3" s="1"/>
  <c r="J29" i="5" s="1"/>
  <c r="M5" i="1"/>
  <c r="F57" i="1" l="1"/>
  <c r="D53" i="4"/>
  <c r="N9" i="5" s="1"/>
  <c r="D58" i="4"/>
  <c r="I4" i="4"/>
  <c r="F58" i="4"/>
  <c r="P29" i="5" s="1"/>
  <c r="F53" i="4"/>
  <c r="P9" i="5" s="1"/>
  <c r="E53" i="4"/>
  <c r="O9" i="5" s="1"/>
  <c r="P28" i="5"/>
  <c r="E57" i="4"/>
  <c r="K4" i="4"/>
  <c r="M4" i="4"/>
  <c r="I4" i="3"/>
  <c r="I29" i="5"/>
  <c r="D60" i="3"/>
  <c r="E53" i="3"/>
  <c r="J9" i="5" s="1"/>
  <c r="K4" i="3"/>
  <c r="E60" i="3"/>
  <c r="J28" i="5"/>
  <c r="F57" i="3"/>
  <c r="M4" i="3"/>
  <c r="I37" i="4"/>
  <c r="E28" i="5" l="1"/>
  <c r="D60" i="4"/>
  <c r="N29" i="5"/>
  <c r="F60" i="4"/>
  <c r="F63" i="4" s="1"/>
  <c r="O28" i="5"/>
  <c r="E60" i="4"/>
  <c r="D63" i="3"/>
  <c r="I31" i="5"/>
  <c r="F60" i="3"/>
  <c r="K28" i="5"/>
  <c r="E63" i="3"/>
  <c r="J31" i="5"/>
  <c r="N31" i="5" l="1"/>
  <c r="D63" i="4"/>
  <c r="P31" i="5"/>
  <c r="F67" i="4"/>
  <c r="P53" i="5" s="1"/>
  <c r="E7" i="6" s="1"/>
  <c r="P49" i="5"/>
  <c r="E63" i="4"/>
  <c r="O31" i="5"/>
  <c r="D67" i="3"/>
  <c r="I53" i="5" s="1"/>
  <c r="C6" i="6" s="1"/>
  <c r="I49" i="5"/>
  <c r="E67" i="3"/>
  <c r="J53" i="5" s="1"/>
  <c r="D6" i="6" s="1"/>
  <c r="J49" i="5"/>
  <c r="F63" i="3"/>
  <c r="K31" i="5"/>
  <c r="D67" i="4" l="1"/>
  <c r="N53" i="5" s="1"/>
  <c r="C7" i="6" s="1"/>
  <c r="N49" i="5"/>
  <c r="O49" i="5"/>
  <c r="E67" i="4"/>
  <c r="O53" i="5" s="1"/>
  <c r="D7" i="6" s="1"/>
  <c r="F67" i="3"/>
  <c r="K53" i="5" s="1"/>
  <c r="E6" i="6" s="1"/>
  <c r="K49" i="5"/>
  <c r="E27" i="1"/>
  <c r="E25" i="1"/>
  <c r="E23" i="1"/>
  <c r="I32" i="1" l="1"/>
  <c r="I31" i="1" s="1"/>
  <c r="K32" i="1"/>
  <c r="K31" i="1" s="1"/>
  <c r="M32" i="1"/>
  <c r="M31" i="1" s="1"/>
  <c r="I21" i="1" l="1"/>
  <c r="K21" i="1"/>
  <c r="M40" i="1"/>
  <c r="I37" i="1"/>
  <c r="K40" i="1"/>
  <c r="M21" i="1"/>
  <c r="D58" i="1" l="1"/>
  <c r="I4" i="1"/>
  <c r="D53" i="1"/>
  <c r="C9" i="5" s="1"/>
  <c r="F58" i="1"/>
  <c r="F53" i="1"/>
  <c r="E9" i="5" s="1"/>
  <c r="M4" i="1"/>
  <c r="K4" i="1"/>
  <c r="E53" i="1"/>
  <c r="D9" i="5" s="1"/>
  <c r="E58" i="1"/>
  <c r="C29" i="5" l="1"/>
  <c r="D60" i="1"/>
  <c r="D29" i="5"/>
  <c r="E60" i="1"/>
  <c r="E29" i="5"/>
  <c r="F60" i="1"/>
  <c r="D63" i="1" l="1"/>
  <c r="C31" i="5"/>
  <c r="F63" i="1"/>
  <c r="E31" i="5"/>
  <c r="E63" i="1"/>
  <c r="D31" i="5"/>
  <c r="D67" i="1" l="1"/>
  <c r="C53" i="5" s="1"/>
  <c r="C5" i="6" s="1"/>
  <c r="C49" i="5"/>
  <c r="E67" i="1"/>
  <c r="D53" i="5" s="1"/>
  <c r="D5" i="6" s="1"/>
  <c r="D49" i="5"/>
  <c r="F67" i="1"/>
  <c r="E53" i="5" s="1"/>
  <c r="E5" i="6" s="1"/>
  <c r="E4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IJASSI Walid (ijassiw)</author>
  </authors>
  <commentList>
    <comment ref="E33" authorId="0" shapeId="0" xr:uid="{3260FD07-9C95-4372-A01B-7310702949F0}">
      <text>
        <r>
          <rPr>
            <b/>
            <sz val="9"/>
            <color indexed="81"/>
            <rFont val="Tahoma"/>
            <family val="2"/>
          </rPr>
          <t>IJASSI Walid (ijassiw):</t>
        </r>
        <r>
          <rPr>
            <sz val="9"/>
            <color indexed="81"/>
            <rFont val="Tahoma"/>
            <family val="2"/>
          </rPr>
          <t xml:space="preserve">
Allocation de (1/10000) des impacts à 1 marqueur, car la camionette transporte 10000 marqueurs en même temps, et les impacts de transport en camionette et voiture dans la base de données ne sont pas alloués par défaut à une unité de poids transporté dans une distance, comme pour les camions, trains...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IJASSI Walid (ijassiw)</author>
  </authors>
  <commentList>
    <comment ref="E33" authorId="0" shapeId="0" xr:uid="{774434E1-2184-473F-9114-A36F4C99398B}">
      <text>
        <r>
          <rPr>
            <b/>
            <sz val="9"/>
            <color indexed="81"/>
            <rFont val="Tahoma"/>
            <family val="2"/>
          </rPr>
          <t>IJASSI Walid (ijassiw):</t>
        </r>
        <r>
          <rPr>
            <sz val="9"/>
            <color indexed="81"/>
            <rFont val="Tahoma"/>
            <family val="2"/>
          </rPr>
          <t xml:space="preserve">
Allocation de (1/10000) des impacts à 1 marqueur, car la camionette transporte 10000 marqueurs en même temps, et les impacts de transport en camionette et voiture dans la base de données ne sont pas alloués par défaut à une unité de poids transporté dans une distance, comme pour les camions, trains...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IJASSI Walid (ijassiw)</author>
  </authors>
  <commentList>
    <comment ref="E33" authorId="0" shapeId="0" xr:uid="{B8D39189-3832-455D-B57D-1DA1E1ECDE19}">
      <text>
        <r>
          <rPr>
            <b/>
            <sz val="9"/>
            <color indexed="81"/>
            <rFont val="Tahoma"/>
            <family val="2"/>
          </rPr>
          <t>IJASSI Walid (ijassiw):</t>
        </r>
        <r>
          <rPr>
            <sz val="9"/>
            <color indexed="81"/>
            <rFont val="Tahoma"/>
            <family val="2"/>
          </rPr>
          <t xml:space="preserve">
Allocation de (1/10000) des impacts à 1 marqueur, car la camionette transporte 10000 marqueurs en même temps, et les impacts de transport en camionette et voiture dans la base de données ne sont pas alloués par défaut à une unité de poids transporté dans une distance, comme pour les camions, trains...</t>
        </r>
      </text>
    </comment>
  </commentList>
</comments>
</file>

<file path=xl/sharedStrings.xml><?xml version="1.0" encoding="utf-8"?>
<sst xmlns="http://schemas.openxmlformats.org/spreadsheetml/2006/main" count="402" uniqueCount="117">
  <si>
    <t>Production des composants</t>
  </si>
  <si>
    <t>Capuchon</t>
  </si>
  <si>
    <t>Support feutre</t>
  </si>
  <si>
    <t>Feutre</t>
  </si>
  <si>
    <t>Cartouche feutre</t>
  </si>
  <si>
    <t>Corps</t>
  </si>
  <si>
    <t>Encre</t>
  </si>
  <si>
    <t>Quantité</t>
  </si>
  <si>
    <t>Réchauffement climatique</t>
  </si>
  <si>
    <t>Epuisement des ressources</t>
  </si>
  <si>
    <t>Santé humaine</t>
  </si>
  <si>
    <t>Polyéthylène</t>
  </si>
  <si>
    <t>Moulage par injection</t>
  </si>
  <si>
    <t>Polyamide</t>
  </si>
  <si>
    <t>Polyester</t>
  </si>
  <si>
    <t>Unité</t>
  </si>
  <si>
    <t>Aluminium</t>
  </si>
  <si>
    <t>Extrusion</t>
  </si>
  <si>
    <t>Ethanol</t>
  </si>
  <si>
    <t>MJ</t>
  </si>
  <si>
    <t>Transport du corps</t>
  </si>
  <si>
    <t>Distribution du marqueur</t>
  </si>
  <si>
    <t>Transport en camion 32t</t>
  </si>
  <si>
    <t>Transport en train électrique</t>
  </si>
  <si>
    <t>Francfort &gt; Bâle (330 km)</t>
  </si>
  <si>
    <t>Bâle &gt; Genève (251 km)</t>
  </si>
  <si>
    <t>Genève &gt; Grenoble (145 km)</t>
  </si>
  <si>
    <t>Camionnette</t>
  </si>
  <si>
    <t>Utilisation</t>
  </si>
  <si>
    <t>Ethanol dans l'atmosphère</t>
  </si>
  <si>
    <t>Emissions dans l'air</t>
  </si>
  <si>
    <t>Fin de vie</t>
  </si>
  <si>
    <t>Transport en camion de déchêts</t>
  </si>
  <si>
    <t>kg</t>
  </si>
  <si>
    <t>t.km</t>
  </si>
  <si>
    <t>Cycle de vie complet du marqueur</t>
  </si>
  <si>
    <t>marqueur</t>
  </si>
  <si>
    <t>Impact unitaire (par unité - colonne F)</t>
  </si>
  <si>
    <t>Impact total (par quantité - colonne E)</t>
  </si>
  <si>
    <t>Collecte (10 km)</t>
  </si>
  <si>
    <t>Incinération polyéthylène</t>
  </si>
  <si>
    <t>Incinération du polyamide (nylon)</t>
  </si>
  <si>
    <t>Incinération du polyester</t>
  </si>
  <si>
    <t>Recyclage de l'aluminium</t>
  </si>
  <si>
    <t>Aluminium  recycling credit closed loop (79% virgin part trade mix)</t>
  </si>
  <si>
    <t>PE (Polyethylene) waste incineration with electricity</t>
  </si>
  <si>
    <t>PA (Nylons, Polyamides) waste incineration with electricity</t>
  </si>
  <si>
    <t>Polyester waste incineration with electricity</t>
  </si>
  <si>
    <t>Recyclage du corps</t>
  </si>
  <si>
    <t>Incinération du marqueur sans corps</t>
  </si>
  <si>
    <t>Incinération du marqueur</t>
  </si>
  <si>
    <t>Polyéthylène recyclé</t>
  </si>
  <si>
    <t>Truck+container 28 tonne net Electric EU (min weight/volume ratio 0.41 t/m3) (tkm)</t>
  </si>
  <si>
    <t>Epuisement des ressources en USD2013</t>
  </si>
  <si>
    <t>Santé humaine en DALY</t>
  </si>
  <si>
    <t>Truck+container 28 tonne net HVO (min weight/volume ratio 0.41 t/m3) (tkm)</t>
  </si>
  <si>
    <t>Train freight electric (tkm)</t>
  </si>
  <si>
    <t>Electricity France consumption</t>
  </si>
  <si>
    <t>Assemblage des composants</t>
  </si>
  <si>
    <t>Energie électrique (FR)</t>
  </si>
  <si>
    <t>Delivery Van diesel in city (per km) max. 6.6-9.3 m3 800-1400 kg WTW</t>
  </si>
  <si>
    <t>km</t>
  </si>
  <si>
    <t>Intra-ville/agglomération (20 km)</t>
  </si>
  <si>
    <t>Extruding alum</t>
  </si>
  <si>
    <t>injection moulding - production site</t>
  </si>
  <si>
    <t xml:space="preserve"> rPE - mechanical recycled in China - ex transport</t>
  </si>
  <si>
    <t>PA 66 (Nylon 66  Polyamide 6-6)</t>
  </si>
  <si>
    <t>PE (HDPE  High density Polyethylene)</t>
  </si>
  <si>
    <t>Polyester (unsaturated resin)</t>
  </si>
  <si>
    <t>Aluminium trade mix Europe (79% prim 21% sec)</t>
  </si>
  <si>
    <t>Ethanol (alcohol) synthetic</t>
  </si>
  <si>
    <t>Ethanol (C2H5OH), direct emissions (scope1 and downstream)</t>
  </si>
  <si>
    <t>Assemblage du marqueur</t>
  </si>
  <si>
    <t>Corps (transport inclus)</t>
  </si>
  <si>
    <t>Assemblage marqueur</t>
  </si>
  <si>
    <t>Production</t>
  </si>
  <si>
    <t>Distribution</t>
  </si>
  <si>
    <t>Total</t>
  </si>
  <si>
    <t>Total production</t>
  </si>
  <si>
    <t>Scénario 1</t>
  </si>
  <si>
    <t>Scénario 2</t>
  </si>
  <si>
    <t>Scénario 3</t>
  </si>
  <si>
    <t>Idemat</t>
  </si>
  <si>
    <t>2026 RevA1</t>
  </si>
  <si>
    <t>https://www.ecocostsvalue.com/data-tools-books/</t>
  </si>
  <si>
    <t>Catégories d'impacts étudiés</t>
  </si>
  <si>
    <t>Intitulé des catégories dans la base de donnés</t>
  </si>
  <si>
    <t>Human Health (ReCiPe)</t>
  </si>
  <si>
    <t>Resources (ReCiPe)</t>
  </si>
  <si>
    <t>USD2013</t>
  </si>
  <si>
    <t>DALY</t>
  </si>
  <si>
    <t>Global warming (TRACI)</t>
  </si>
  <si>
    <t>kg CO2 eq</t>
  </si>
  <si>
    <t>Réchauffement climatique en kg CO2 eq</t>
  </si>
  <si>
    <t>Intitulé dans la base de données utilisée</t>
  </si>
  <si>
    <t>Walid Ijassi</t>
  </si>
  <si>
    <t>Noms des étudiants :</t>
  </si>
  <si>
    <t>Date de réalisation du travail :</t>
  </si>
  <si>
    <t>Version de la base de données :</t>
  </si>
  <si>
    <t xml:space="preserve">Base de données utilisée : </t>
  </si>
  <si>
    <t>Lien vers la base de données :</t>
  </si>
  <si>
    <t>Cycle de vie complet du produit</t>
  </si>
  <si>
    <t>Etape clé du cycle de vie</t>
  </si>
  <si>
    <t>Décomposition de l'étape</t>
  </si>
  <si>
    <t>Flux ou procédé</t>
  </si>
  <si>
    <t>Les tableaux des scénarios suivent la structure suivante:</t>
  </si>
  <si>
    <t>"Comparaison des scénarios" : donne une comparaison des impacts environnementaux du cycle de vie du produits entre les 3 scénarios.</t>
  </si>
  <si>
    <t>Voici un exemple</t>
  </si>
  <si>
    <t>Flux / Procédé</t>
  </si>
  <si>
    <t>Ce tableur a été développé dans le cadre du projet La Boîte à Outils (https://g-scop.grenoble-inp.fr/fr/recherche/boite-a-outils-devaluation-environnementale) afin de permettre le calcul et la visualisation des impacts environnementaux sous Excel.
L’utilisation d’une base de données externe est nécessaire pour réaliser les calculs.
Dernière mise à jour: 30/04/2026</t>
  </si>
  <si>
    <t>Pour utiliser correctement le tableur, remplissez uniquement les cellules encadrées en orange ou en bleu, comme indiqué ci-dessous.
Merci de ne pas modifier les autres cellules.</t>
  </si>
  <si>
    <t>: à compléter à partir des données fournies dans l’énoncé.</t>
  </si>
  <si>
    <t>: à compléter à partir des données issues de la base de données utilisée.</t>
  </si>
  <si>
    <r>
      <rPr>
        <b/>
        <sz val="11"/>
        <color theme="1"/>
        <rFont val="Calibri"/>
        <family val="2"/>
        <scheme val="minor"/>
      </rPr>
      <t>Bon à savoir :</t>
    </r>
    <r>
      <rPr>
        <sz val="11"/>
        <color theme="1"/>
        <rFont val="Calibri"/>
        <family val="2"/>
        <scheme val="minor"/>
      </rPr>
      <t xml:space="preserve">
Les transports de marchandises en grands véhicules (camion, train, bateau) sont exprimés en unité “poids x distance” (par exemple t.km). L’allocation est déjà intégrée : il faut uniquement renseigner la masse transportée.
Pour les véhicules légers (voiture, camionnette), l’unité est en distance (km). L’allocation doit donc être réalisée manuellement.</t>
    </r>
  </si>
  <si>
    <t>Les résultats sont représentés graphiquement dans deux fenêtres distinctes :</t>
  </si>
  <si>
    <t>“Comparaison des scénarios” : permet de comparer les impacts environnementaux globaux des trois scénarios sur l’ensemble du cycle de vie.</t>
  </si>
  <si>
    <t>Attention : utilisez la même unité que celle indiquée dans la base de données sélectionnée.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</si>
</sst>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name val="Verdana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theme="5"/>
      </left>
      <right style="mediumDashed">
        <color theme="5"/>
      </right>
      <top style="mediumDashed">
        <color theme="5"/>
      </top>
      <bottom style="mediumDashed">
        <color theme="5"/>
      </bottom>
      <diagonal/>
    </border>
    <border>
      <left style="mediumDashed">
        <color theme="4"/>
      </left>
      <right style="mediumDashed">
        <color theme="4"/>
      </right>
      <top style="mediumDashed">
        <color theme="4"/>
      </top>
      <bottom style="mediumDashed">
        <color theme="4"/>
      </bottom>
      <diagonal/>
    </border>
    <border>
      <left style="mediumDashed">
        <color theme="5"/>
      </left>
      <right/>
      <top style="mediumDashed">
        <color theme="5"/>
      </top>
      <bottom style="mediumDashed">
        <color theme="5"/>
      </bottom>
      <diagonal/>
    </border>
  </borders>
  <cellStyleXfs count="15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2" fillId="3" borderId="0" xfId="0" applyFont="1" applyFill="1"/>
    <xf numFmtId="0" fontId="2" fillId="4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2" borderId="0" xfId="0" applyFont="1" applyFill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1" xfId="2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/>
    <xf numFmtId="0" fontId="0" fillId="0" borderId="2" xfId="0" applyFill="1" applyBorder="1"/>
    <xf numFmtId="0" fontId="0" fillId="0" borderId="2" xfId="0" applyFont="1" applyBorder="1"/>
    <xf numFmtId="0" fontId="0" fillId="0" borderId="4" xfId="0" applyBorder="1"/>
    <xf numFmtId="0" fontId="3" fillId="0" borderId="3" xfId="0" applyFont="1" applyBorder="1"/>
    <xf numFmtId="0" fontId="0" fillId="0" borderId="3" xfId="0" applyBorder="1"/>
    <xf numFmtId="0" fontId="0" fillId="0" borderId="4" xfId="0" applyFill="1" applyBorder="1"/>
    <xf numFmtId="0" fontId="3" fillId="0" borderId="3" xfId="0" applyFont="1" applyFill="1" applyBorder="1"/>
    <xf numFmtId="0" fontId="0" fillId="0" borderId="3" xfId="0" applyFill="1" applyBorder="1"/>
    <xf numFmtId="0" fontId="0" fillId="0" borderId="4" xfId="0" applyFont="1" applyBorder="1"/>
    <xf numFmtId="0" fontId="0" fillId="0" borderId="0" xfId="0" applyFill="1" applyBorder="1"/>
    <xf numFmtId="0" fontId="0" fillId="0" borderId="0" xfId="0" applyBorder="1"/>
    <xf numFmtId="0" fontId="12" fillId="0" borderId="0" xfId="0" applyFont="1"/>
    <xf numFmtId="14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/>
    <xf numFmtId="0" fontId="13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/>
    </xf>
  </cellXfs>
  <cellStyles count="15">
    <cellStyle name="Hyperlink 2" xfId="13" xr:uid="{55B2C2E7-A367-4391-A8FD-DF258207A044}"/>
    <cellStyle name="Lien hypertexte" xfId="2" builtinId="8"/>
    <cellStyle name="Normal" xfId="0" builtinId="0"/>
    <cellStyle name="Normal 2" xfId="9" xr:uid="{BB3F56E4-39B0-4B17-B0F1-288929CC719E}"/>
    <cellStyle name="Normal 3" xfId="10" xr:uid="{853A3FC1-E470-4FB9-9A65-BE131B2EAC22}"/>
    <cellStyle name="Normal 4" xfId="11" xr:uid="{CD1BCA13-E6F3-4716-9797-36CA17142EFC}"/>
    <cellStyle name="Normal 5" xfId="1" xr:uid="{00000000-0005-0000-0000-000031000000}"/>
    <cellStyle name="Standaard 2" xfId="4" xr:uid="{00000000-0005-0000-0000-000003000000}"/>
    <cellStyle name="Standaard 2 2" xfId="12" xr:uid="{47489801-8624-4C6B-BB26-D3F4AC0BC516}"/>
    <cellStyle name="Standaard 3" xfId="5" xr:uid="{E5C381BE-465A-48D9-AB49-4C7F5494A481}"/>
    <cellStyle name="Standaard 3 2" xfId="14" xr:uid="{05AFD372-0C50-4BA9-BF09-6D17713A21AE}"/>
    <cellStyle name="Standaard 4" xfId="6" xr:uid="{0A896001-31BE-4A96-9362-29CCD8BCA9B0}"/>
    <cellStyle name="Standaard 4 2" xfId="8" xr:uid="{62D9008E-8913-42F5-AFB8-7C7D8FC8F76B}"/>
    <cellStyle name="Standaard 5" xfId="7" xr:uid="{992D75FA-73C3-48E6-8128-F7ACD385AF56}"/>
    <cellStyle name="Standard_Tabelle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des impacts des 3 scénarios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'Comparaison des scénarios'!$B$5</c:f>
              <c:strCache>
                <c:ptCount val="1"/>
                <c:pt idx="0">
                  <c:v>Scénario 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'Comparaison des scénarios'!$C$4:$E$4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'Comparaison des scénarios'!$C$5:$E$5</c:f>
              <c:numCache>
                <c:formatCode>General</c:formatCode>
                <c:ptCount val="3"/>
                <c:pt idx="0">
                  <c:v>9.841113679280665E-2</c:v>
                </c:pt>
                <c:pt idx="1">
                  <c:v>1.2553504932743518E-7</c:v>
                </c:pt>
                <c:pt idx="2">
                  <c:v>2.6790481708910737E-2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9-46A1-89E2-2E4D89A020CB}"/>
            </c:ext>
          </c:extLst>
        </c:ser>
        <c:ser>
          <c:idx val="1"/>
          <c:order val="1"/>
          <c:tx>
            <c:strRef>
              <c:f>'Comparaison des scénarios'!$B$6</c:f>
              <c:strCache>
                <c:ptCount val="1"/>
                <c:pt idx="0">
                  <c:v>Scénario 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'Comparaison des scénarios'!$C$4:$E$4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'Comparaison des scénarios'!$C$6:$E$6</c:f>
              <c:numCache>
                <c:formatCode>General</c:formatCode>
                <c:ptCount val="3"/>
                <c:pt idx="0">
                  <c:v>7.7732199692806647E-2</c:v>
                </c:pt>
                <c:pt idx="1">
                  <c:v>9.346296030222413E-8</c:v>
                </c:pt>
                <c:pt idx="2">
                  <c:v>1.4728194693940239E-2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49-46A1-89E2-2E4D89A020CB}"/>
            </c:ext>
          </c:extLst>
        </c:ser>
        <c:ser>
          <c:idx val="2"/>
          <c:order val="2"/>
          <c:tx>
            <c:strRef>
              <c:f>'Comparaison des scénarios'!$B$7</c:f>
              <c:strCache>
                <c:ptCount val="1"/>
                <c:pt idx="0">
                  <c:v>Scénario 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'Comparaison des scénarios'!$C$4:$E$4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'Comparaison des scénarios'!$C$7:$E$7</c:f>
              <c:numCache>
                <c:formatCode>General</c:formatCode>
                <c:ptCount val="3"/>
                <c:pt idx="0">
                  <c:v>6.2209090491677332E-2</c:v>
                </c:pt>
                <c:pt idx="1">
                  <c:v>-2.1865034992856795E-4</c:v>
                </c:pt>
                <c:pt idx="2">
                  <c:v>1.3737127047668557E-2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9-46A1-89E2-2E4D89A02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5090831"/>
        <c:axId val="502123919"/>
      </c:barChart>
      <c:catAx>
        <c:axId val="895090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2123919"/>
        <c:crosses val="autoZero"/>
        <c:auto val="1"/>
        <c:lblAlgn val="ctr"/>
        <c:lblOffset val="100"/>
        <c:noMultiLvlLbl val="0"/>
      </c:catAx>
      <c:valAx>
        <c:axId val="50212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9509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de production (scénario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scénario'!$M$28</c:f>
              <c:strCache>
                <c:ptCount val="1"/>
                <c:pt idx="0">
                  <c:v>Production des composants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scénario'!$N$27:$P$27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scénario'!$N$28:$P$28</c:f>
              <c:numCache>
                <c:formatCode>General</c:formatCode>
                <c:ptCount val="3"/>
                <c:pt idx="0">
                  <c:v>7.1191187733333341E-2</c:v>
                </c:pt>
                <c:pt idx="1">
                  <c:v>8.8751782866643735E-8</c:v>
                </c:pt>
                <c:pt idx="2">
                  <c:v>1.3925354226533E-2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9-4DA6-B357-640A1E9CA6FD}"/>
            </c:ext>
          </c:extLst>
        </c:ser>
        <c:ser>
          <c:idx val="1"/>
          <c:order val="1"/>
          <c:tx>
            <c:strRef>
              <c:f>'Synthèse par scénario'!$M$29</c:f>
              <c:strCache>
                <c:ptCount val="1"/>
                <c:pt idx="0">
                  <c:v>Transport du corps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scénario'!$N$27:$P$27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scénario'!$N$29:$P$29</c:f>
              <c:numCache>
                <c:formatCode>General</c:formatCode>
                <c:ptCount val="3"/>
                <c:pt idx="0">
                  <c:v>4.5460727183999995E-5</c:v>
                </c:pt>
                <c:pt idx="1">
                  <c:v>6.8090952835281504E-11</c:v>
                </c:pt>
                <c:pt idx="2">
                  <c:v>6.8925176809971994E-6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9-4DA6-B357-640A1E9CA6FD}"/>
            </c:ext>
          </c:extLst>
        </c:ser>
        <c:ser>
          <c:idx val="2"/>
          <c:order val="2"/>
          <c:tx>
            <c:strRef>
              <c:f>'Synthèse par scénario'!$M$30</c:f>
              <c:strCache>
                <c:ptCount val="1"/>
                <c:pt idx="0">
                  <c:v>Assemblage marqueur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scénario'!$N$27:$P$27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scénario'!$N$30:$P$30</c:f>
              <c:numCache>
                <c:formatCode>General</c:formatCode>
                <c:ptCount val="3"/>
                <c:pt idx="0">
                  <c:v>4.1371800666666672E-4</c:v>
                </c:pt>
                <c:pt idx="1">
                  <c:v>7.5808830355699998E-10</c:v>
                </c:pt>
                <c:pt idx="2">
                  <c:v>4.7686052504000005E-5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9-4DA6-B357-640A1E9CA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282351"/>
        <c:axId val="571761151"/>
      </c:barChart>
      <c:catAx>
        <c:axId val="37928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1761151"/>
        <c:crosses val="autoZero"/>
        <c:auto val="1"/>
        <c:lblAlgn val="ctr"/>
        <c:lblOffset val="100"/>
        <c:noMultiLvlLbl val="0"/>
      </c:catAx>
      <c:valAx>
        <c:axId val="57176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928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du</a:t>
            </a:r>
            <a:r>
              <a:rPr lang="fr-FR" baseline="0"/>
              <a:t> cycle de vie complet (scénario 1)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scénario'!$B$49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scénario'!$C$48:$E$48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scénario'!$C$49:$E$49</c:f>
              <c:numCache>
                <c:formatCode>General</c:formatCode>
                <c:ptCount val="3"/>
                <c:pt idx="0">
                  <c:v>9.6297252876939993E-2</c:v>
                </c:pt>
                <c:pt idx="1">
                  <c:v>1.2276981065516871E-7</c:v>
                </c:pt>
                <c:pt idx="2">
                  <c:v>2.6710426277187737E-2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A-4690-B02C-19FE4BF5C6C2}"/>
            </c:ext>
          </c:extLst>
        </c:ser>
        <c:ser>
          <c:idx val="1"/>
          <c:order val="1"/>
          <c:tx>
            <c:strRef>
              <c:f>'Synthèse par scénario'!$B$50</c:f>
              <c:strCache>
                <c:ptCount val="1"/>
                <c:pt idx="0">
                  <c:v>Distribution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scénario'!$C$48:$E$48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scénario'!$C$50:$E$50</c:f>
              <c:numCache>
                <c:formatCode>General</c:formatCode>
                <c:ptCount val="3"/>
                <c:pt idx="0">
                  <c:v>5.2572221333333337E-4</c:v>
                </c:pt>
                <c:pt idx="1">
                  <c:v>5.6845122550540003E-10</c:v>
                </c:pt>
                <c:pt idx="2">
                  <c:v>7.8986825841800007E-5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A-4690-B02C-19FE4BF5C6C2}"/>
            </c:ext>
          </c:extLst>
        </c:ser>
        <c:ser>
          <c:idx val="2"/>
          <c:order val="2"/>
          <c:tx>
            <c:strRef>
              <c:f>'Synthèse par scénario'!$B$51</c:f>
              <c:strCache>
                <c:ptCount val="1"/>
                <c:pt idx="0">
                  <c:v>Utilisation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scénario'!$C$48:$E$48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scénario'!$C$51:$E$51</c:f>
              <c:numCache>
                <c:formatCode>General</c:formatCode>
                <c:ptCount val="3"/>
                <c:pt idx="0">
                  <c:v>0</c:v>
                </c:pt>
                <c:pt idx="1">
                  <c:v>2.1809999999999998E-9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A-4690-B02C-19FE4BF5C6C2}"/>
            </c:ext>
          </c:extLst>
        </c:ser>
        <c:ser>
          <c:idx val="3"/>
          <c:order val="3"/>
          <c:tx>
            <c:strRef>
              <c:f>'Synthèse par scénario'!$B$52</c:f>
              <c:strCache>
                <c:ptCount val="1"/>
                <c:pt idx="0">
                  <c:v>Fin de vie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scénario'!$C$48:$E$48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scénario'!$C$52:$E$52</c:f>
              <c:numCache>
                <c:formatCode>General</c:formatCode>
                <c:ptCount val="3"/>
                <c:pt idx="0">
                  <c:v>1.5881617025333336E-3</c:v>
                </c:pt>
                <c:pt idx="1">
                  <c:v>1.5787446761045099E-11</c:v>
                </c:pt>
                <c:pt idx="2">
                  <c:v>1.0686058812E-6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CA-4690-B02C-19FE4BF5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6725247"/>
        <c:axId val="885140767"/>
      </c:barChart>
      <c:catAx>
        <c:axId val="6567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140767"/>
        <c:crosses val="autoZero"/>
        <c:auto val="1"/>
        <c:lblAlgn val="ctr"/>
        <c:lblOffset val="100"/>
        <c:noMultiLvlLbl val="0"/>
      </c:catAx>
      <c:valAx>
        <c:axId val="88514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7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du cycle de vie complet (scénario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scénario'!$H$49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scénario'!$I$48:$K$48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scénario'!$I$49:$K$49</c:f>
              <c:numCache>
                <c:formatCode>General</c:formatCode>
                <c:ptCount val="3"/>
                <c:pt idx="0">
                  <c:v>7.561831577693999E-2</c:v>
                </c:pt>
                <c:pt idx="1">
                  <c:v>9.0697721629957689E-8</c:v>
                </c:pt>
                <c:pt idx="2">
                  <c:v>1.4648139262217238E-2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B-4A29-BC3E-C9ACEC19FCE6}"/>
            </c:ext>
          </c:extLst>
        </c:ser>
        <c:ser>
          <c:idx val="1"/>
          <c:order val="1"/>
          <c:tx>
            <c:strRef>
              <c:f>'Synthèse par scénario'!$H$50</c:f>
              <c:strCache>
                <c:ptCount val="1"/>
                <c:pt idx="0">
                  <c:v>Distribution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scénario'!$I$48:$K$48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scénario'!$I$50:$K$50</c:f>
              <c:numCache>
                <c:formatCode>General</c:formatCode>
                <c:ptCount val="3"/>
                <c:pt idx="0">
                  <c:v>5.2572221333333337E-4</c:v>
                </c:pt>
                <c:pt idx="1">
                  <c:v>5.6845122550540003E-10</c:v>
                </c:pt>
                <c:pt idx="2">
                  <c:v>7.8986825841800007E-5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AB-4A29-BC3E-C9ACEC19FCE6}"/>
            </c:ext>
          </c:extLst>
        </c:ser>
        <c:ser>
          <c:idx val="2"/>
          <c:order val="2"/>
          <c:tx>
            <c:strRef>
              <c:f>'Synthèse par scénario'!$H$51</c:f>
              <c:strCache>
                <c:ptCount val="1"/>
                <c:pt idx="0">
                  <c:v>Utilisation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scénario'!$I$48:$K$48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scénario'!$I$51:$K$51</c:f>
              <c:numCache>
                <c:formatCode>General</c:formatCode>
                <c:ptCount val="3"/>
                <c:pt idx="0">
                  <c:v>0</c:v>
                </c:pt>
                <c:pt idx="1">
                  <c:v>2.1809999999999998E-9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AB-4A29-BC3E-C9ACEC19FCE6}"/>
            </c:ext>
          </c:extLst>
        </c:ser>
        <c:ser>
          <c:idx val="3"/>
          <c:order val="3"/>
          <c:tx>
            <c:strRef>
              <c:f>'Synthèse par scénario'!$H$52</c:f>
              <c:strCache>
                <c:ptCount val="1"/>
                <c:pt idx="0">
                  <c:v>Fin de vie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scénario'!$I$48:$K$48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scénario'!$I$52:$K$52</c:f>
              <c:numCache>
                <c:formatCode>General</c:formatCode>
                <c:ptCount val="3"/>
                <c:pt idx="0">
                  <c:v>1.5881617025333336E-3</c:v>
                </c:pt>
                <c:pt idx="1">
                  <c:v>1.5787446761045099E-11</c:v>
                </c:pt>
                <c:pt idx="2">
                  <c:v>1.0686058812E-6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AB-4A29-BC3E-C9ACEC19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9980463"/>
        <c:axId val="508785711"/>
      </c:barChart>
      <c:catAx>
        <c:axId val="499980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8785711"/>
        <c:crosses val="autoZero"/>
        <c:auto val="1"/>
        <c:lblAlgn val="ctr"/>
        <c:lblOffset val="100"/>
        <c:noMultiLvlLbl val="0"/>
      </c:catAx>
      <c:valAx>
        <c:axId val="508785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9980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du cycle de vie complet (scénario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scénario'!$M$49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scénario'!$N$48:$P$48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scénario'!$N$49:$P$49</c:f>
              <c:numCache>
                <c:formatCode>General</c:formatCode>
                <c:ptCount val="3"/>
                <c:pt idx="0">
                  <c:v>7.1650366467184007E-2</c:v>
                </c:pt>
                <c:pt idx="1">
                  <c:v>8.9577962123036013E-8</c:v>
                </c:pt>
                <c:pt idx="2">
                  <c:v>1.3979932796717996E-2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7-4043-86B5-DB2AD8494AF2}"/>
            </c:ext>
          </c:extLst>
        </c:ser>
        <c:ser>
          <c:idx val="1"/>
          <c:order val="1"/>
          <c:tx>
            <c:strRef>
              <c:f>'Synthèse par scénario'!$M$50</c:f>
              <c:strCache>
                <c:ptCount val="1"/>
                <c:pt idx="0">
                  <c:v>Distribution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scénario'!$N$48:$P$48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scénario'!$N$50:$P$50</c:f>
              <c:numCache>
                <c:formatCode>General</c:formatCode>
                <c:ptCount val="3"/>
                <c:pt idx="0">
                  <c:v>5.2572221333333337E-4</c:v>
                </c:pt>
                <c:pt idx="1">
                  <c:v>5.6845122550540003E-10</c:v>
                </c:pt>
                <c:pt idx="2">
                  <c:v>7.8986825841800007E-5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7-4043-86B5-DB2AD8494AF2}"/>
            </c:ext>
          </c:extLst>
        </c:ser>
        <c:ser>
          <c:idx val="2"/>
          <c:order val="2"/>
          <c:tx>
            <c:strRef>
              <c:f>'Synthèse par scénario'!$M$51</c:f>
              <c:strCache>
                <c:ptCount val="1"/>
                <c:pt idx="0">
                  <c:v>Utilisation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scénario'!$N$48:$P$48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scénario'!$N$51:$P$51</c:f>
              <c:numCache>
                <c:formatCode>General</c:formatCode>
                <c:ptCount val="3"/>
                <c:pt idx="0">
                  <c:v>0</c:v>
                </c:pt>
                <c:pt idx="1">
                  <c:v>2.1809999999999998E-9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7-4043-86B5-DB2AD8494AF2}"/>
            </c:ext>
          </c:extLst>
        </c:ser>
        <c:ser>
          <c:idx val="3"/>
          <c:order val="3"/>
          <c:tx>
            <c:strRef>
              <c:f>'Synthèse par scénario'!$M$52</c:f>
              <c:strCache>
                <c:ptCount val="1"/>
                <c:pt idx="0">
                  <c:v>Fin de vie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scénario'!$N$48:$P$48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scénario'!$N$52:$P$52</c:f>
              <c:numCache>
                <c:formatCode>General</c:formatCode>
                <c:ptCount val="3"/>
                <c:pt idx="0">
                  <c:v>-9.9669981888400021E-3</c:v>
                </c:pt>
                <c:pt idx="1">
                  <c:v>-2.1874267734191648E-4</c:v>
                </c:pt>
                <c:pt idx="2">
                  <c:v>-3.2179257489124003E-4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7-4043-86B5-DB2AD8494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6730847"/>
        <c:axId val="883862655"/>
      </c:barChart>
      <c:catAx>
        <c:axId val="65673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3862655"/>
        <c:crosses val="autoZero"/>
        <c:auto val="1"/>
        <c:lblAlgn val="ctr"/>
        <c:lblOffset val="100"/>
        <c:noMultiLvlLbl val="0"/>
      </c:catAx>
      <c:valAx>
        <c:axId val="88386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730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'Comparaison des scénarios'!$C$4</c:f>
              <c:strCache>
                <c:ptCount val="1"/>
                <c:pt idx="0">
                  <c:v>Réchauffement climatique en kg CO2 eq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35-4551-8B8B-61AD732136C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35-4551-8B8B-61AD732136C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835-4551-8B8B-61AD732136C3}"/>
              </c:ext>
            </c:extLst>
          </c:dPt>
          <c:cat>
            <c:strRef>
              <c:f>'Comparaison des scénarios'!$B$5:$B$7</c:f>
              <c:strCache>
                <c:ptCount val="3"/>
                <c:pt idx="0">
                  <c:v>Scénario 1</c:v>
                </c:pt>
                <c:pt idx="1">
                  <c:v>Scénario 2</c:v>
                </c:pt>
                <c:pt idx="2">
                  <c:v>Scénario 3</c:v>
                </c:pt>
              </c:strCache>
            </c:strRef>
          </c:cat>
          <c:val>
            <c:numRef>
              <c:f>'Comparaison des scénarios'!$C$5:$C$7</c:f>
              <c:numCache>
                <c:formatCode>General</c:formatCode>
                <c:ptCount val="3"/>
                <c:pt idx="0">
                  <c:v>9.841113679280665E-2</c:v>
                </c:pt>
                <c:pt idx="1">
                  <c:v>7.7732199692806647E-2</c:v>
                </c:pt>
                <c:pt idx="2">
                  <c:v>6.2209090491677332E-2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5-4551-8B8B-61AD73213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776463"/>
        <c:axId val="817707999"/>
      </c:barChart>
      <c:catAx>
        <c:axId val="81277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707999"/>
        <c:crosses val="autoZero"/>
        <c:auto val="1"/>
        <c:lblAlgn val="ctr"/>
        <c:lblOffset val="100"/>
        <c:noMultiLvlLbl val="0"/>
      </c:catAx>
      <c:valAx>
        <c:axId val="81770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77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'Comparaison des scénarios'!$D$4</c:f>
              <c:strCache>
                <c:ptCount val="1"/>
                <c:pt idx="0">
                  <c:v>Epuisement des ressources en USD2013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F2-47AA-8EDC-B365DDBF6B03}"/>
              </c:ext>
            </c:extLst>
          </c:dPt>
          <c:cat>
            <c:strRef>
              <c:f>'Comparaison des scénarios'!$B$5:$B$7</c:f>
              <c:strCache>
                <c:ptCount val="3"/>
                <c:pt idx="0">
                  <c:v>Scénario 1</c:v>
                </c:pt>
                <c:pt idx="1">
                  <c:v>Scénario 2</c:v>
                </c:pt>
                <c:pt idx="2">
                  <c:v>Scénario 3</c:v>
                </c:pt>
              </c:strCache>
            </c:strRef>
          </c:cat>
          <c:val>
            <c:numRef>
              <c:f>'Comparaison des scénarios'!$D$5:$D$7</c:f>
              <c:numCache>
                <c:formatCode>General</c:formatCode>
                <c:ptCount val="3"/>
                <c:pt idx="0">
                  <c:v>1.2553504932743518E-7</c:v>
                </c:pt>
                <c:pt idx="1">
                  <c:v>9.346296030222413E-8</c:v>
                </c:pt>
                <c:pt idx="2">
                  <c:v>-2.1865034992856795E-4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2-47AA-8EDC-B365DDBF6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776463"/>
        <c:axId val="817707999"/>
      </c:barChart>
      <c:catAx>
        <c:axId val="81277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707999"/>
        <c:crosses val="autoZero"/>
        <c:auto val="1"/>
        <c:lblAlgn val="ctr"/>
        <c:lblOffset val="100"/>
        <c:noMultiLvlLbl val="0"/>
      </c:catAx>
      <c:valAx>
        <c:axId val="81770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77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'Comparaison des scénarios'!$E$4</c:f>
              <c:strCache>
                <c:ptCount val="1"/>
                <c:pt idx="0">
                  <c:v>Santé humaine en DALY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F6-43B5-ADE1-4788BC133C5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DF6-43B5-ADE1-4788BC133C50}"/>
              </c:ext>
            </c:extLst>
          </c:dPt>
          <c:cat>
            <c:strRef>
              <c:f>'Comparaison des scénarios'!$B$5:$B$7</c:f>
              <c:strCache>
                <c:ptCount val="3"/>
                <c:pt idx="0">
                  <c:v>Scénario 1</c:v>
                </c:pt>
                <c:pt idx="1">
                  <c:v>Scénario 2</c:v>
                </c:pt>
                <c:pt idx="2">
                  <c:v>Scénario 3</c:v>
                </c:pt>
              </c:strCache>
            </c:strRef>
          </c:cat>
          <c:val>
            <c:numRef>
              <c:f>'Comparaison des scénarios'!$E$5:$E$7</c:f>
              <c:numCache>
                <c:formatCode>General</c:formatCode>
                <c:ptCount val="3"/>
                <c:pt idx="0">
                  <c:v>2.6790481708910737E-2</c:v>
                </c:pt>
                <c:pt idx="1">
                  <c:v>1.4728194693940239E-2</c:v>
                </c:pt>
                <c:pt idx="2">
                  <c:v>1.3737127047668557E-2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6-43B5-ADE1-4788BC13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776463"/>
        <c:axId val="817707999"/>
      </c:barChart>
      <c:catAx>
        <c:axId val="812776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7707999"/>
        <c:crosses val="autoZero"/>
        <c:auto val="1"/>
        <c:lblAlgn val="ctr"/>
        <c:lblOffset val="100"/>
        <c:noMultiLvlLbl val="0"/>
      </c:catAx>
      <c:valAx>
        <c:axId val="81770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2776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Impacts des composants (scénario 1)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scénario'!$B$5</c:f>
              <c:strCache>
                <c:ptCount val="1"/>
                <c:pt idx="0">
                  <c:v>Capuchon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scénario'!$C$5:$E$5</c:f>
              <c:numCache>
                <c:formatCode>General</c:formatCode>
                <c:ptCount val="3"/>
                <c:pt idx="0">
                  <c:v>5.7355269333333337E-3</c:v>
                </c:pt>
                <c:pt idx="1">
                  <c:v>7.3921725053000006E-9</c:v>
                </c:pt>
                <c:pt idx="2">
                  <c:v>1.779340184898E-3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0-447D-B1EB-B40A8E28F7E2}"/>
            </c:ext>
          </c:extLst>
        </c:ser>
        <c:ser>
          <c:idx val="1"/>
          <c:order val="1"/>
          <c:tx>
            <c:strRef>
              <c:f>'Synthèse par scénario'!$B$6</c:f>
              <c:strCache>
                <c:ptCount val="1"/>
                <c:pt idx="0">
                  <c:v>Support feutre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scénario'!$C$6:$E$6</c:f>
              <c:numCache>
                <c:formatCode>General</c:formatCode>
                <c:ptCount val="3"/>
                <c:pt idx="0">
                  <c:v>5.7355269333333337E-3</c:v>
                </c:pt>
                <c:pt idx="1">
                  <c:v>7.3921725053000006E-9</c:v>
                </c:pt>
                <c:pt idx="2">
                  <c:v>1.779340184898E-3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80-447D-B1EB-B40A8E28F7E2}"/>
            </c:ext>
          </c:extLst>
        </c:ser>
        <c:ser>
          <c:idx val="2"/>
          <c:order val="2"/>
          <c:tx>
            <c:strRef>
              <c:f>'Synthèse par scénario'!$B$7</c:f>
              <c:strCache>
                <c:ptCount val="1"/>
                <c:pt idx="0">
                  <c:v>Feutre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scénario'!$C$7:$E$7</c:f>
              <c:numCache>
                <c:formatCode>General</c:formatCode>
                <c:ptCount val="3"/>
                <c:pt idx="0">
                  <c:v>6.4000000000000003E-3</c:v>
                </c:pt>
                <c:pt idx="1">
                  <c:v>9.2260954103999996E-9</c:v>
                </c:pt>
                <c:pt idx="2">
                  <c:v>1.4583999999999999E-3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80-447D-B1EB-B40A8E28F7E2}"/>
            </c:ext>
          </c:extLst>
        </c:ser>
        <c:ser>
          <c:idx val="3"/>
          <c:order val="3"/>
          <c:tx>
            <c:strRef>
              <c:f>'Synthèse par scénario'!$B$8</c:f>
              <c:strCache>
                <c:ptCount val="1"/>
                <c:pt idx="0">
                  <c:v>Cartouche feutre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scénario'!$C$8:$E$8</c:f>
              <c:numCache>
                <c:formatCode>General</c:formatCode>
                <c:ptCount val="3"/>
                <c:pt idx="0">
                  <c:v>1.8463603333333335E-2</c:v>
                </c:pt>
                <c:pt idx="1">
                  <c:v>2.1226551076579899E-8</c:v>
                </c:pt>
                <c:pt idx="2">
                  <c:v>5.0472077028800005E-3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80-447D-B1EB-B40A8E28F7E2}"/>
            </c:ext>
          </c:extLst>
        </c:ser>
        <c:ser>
          <c:idx val="4"/>
          <c:order val="4"/>
          <c:tx>
            <c:strRef>
              <c:f>'Synthèse par scénario'!$B$9</c:f>
              <c:strCache>
                <c:ptCount val="1"/>
                <c:pt idx="0">
                  <c:v>Corps (transport inclus)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scénario'!$C$9:$E$9</c:f>
              <c:numCache>
                <c:formatCode>General</c:formatCode>
                <c:ptCount val="3"/>
                <c:pt idx="0">
                  <c:v>4.3186929726940007E-2</c:v>
                </c:pt>
                <c:pt idx="1">
                  <c:v>5.5696634862882298E-8</c:v>
                </c:pt>
                <c:pt idx="2">
                  <c:v>1.3370898328038739E-2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80-447D-B1EB-B40A8E28F7E2}"/>
            </c:ext>
          </c:extLst>
        </c:ser>
        <c:ser>
          <c:idx val="5"/>
          <c:order val="5"/>
          <c:tx>
            <c:strRef>
              <c:f>'Synthèse par scénario'!$B$10</c:f>
              <c:strCache>
                <c:ptCount val="1"/>
                <c:pt idx="0">
                  <c:v>Encre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'Synthèse par scénario'!$C$4:$E$4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scénario'!$C$10:$E$10</c:f>
              <c:numCache>
                <c:formatCode>General</c:formatCode>
                <c:ptCount val="3"/>
                <c:pt idx="0">
                  <c:v>1.6228098E-2</c:v>
                </c:pt>
                <c:pt idx="1">
                  <c:v>2.0832832128234E-8</c:v>
                </c:pt>
                <c:pt idx="2">
                  <c:v>3.2121259834529997E-3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80-447D-B1EB-B40A8E28F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005855"/>
        <c:axId val="885147007"/>
      </c:barChart>
      <c:catAx>
        <c:axId val="22600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147007"/>
        <c:crosses val="autoZero"/>
        <c:auto val="1"/>
        <c:lblAlgn val="ctr"/>
        <c:lblOffset val="100"/>
        <c:noMultiLvlLbl val="0"/>
      </c:catAx>
      <c:valAx>
        <c:axId val="885147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600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Impacts des composants (scénario 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scénario'!$H$5</c:f>
              <c:strCache>
                <c:ptCount val="1"/>
                <c:pt idx="0">
                  <c:v>Capuchon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scénario'!$I$5:$K$5</c:f>
              <c:numCache>
                <c:formatCode>General</c:formatCode>
                <c:ptCount val="3"/>
                <c:pt idx="0">
                  <c:v>5.7355269333333337E-3</c:v>
                </c:pt>
                <c:pt idx="1">
                  <c:v>7.3921725053000006E-9</c:v>
                </c:pt>
                <c:pt idx="2">
                  <c:v>1.779340184898E-3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5-4287-91F6-5D70DC4A0527}"/>
            </c:ext>
          </c:extLst>
        </c:ser>
        <c:ser>
          <c:idx val="1"/>
          <c:order val="1"/>
          <c:tx>
            <c:strRef>
              <c:f>'Synthèse par scénario'!$H$6</c:f>
              <c:strCache>
                <c:ptCount val="1"/>
                <c:pt idx="0">
                  <c:v>Support feutre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scénario'!$I$6:$K$6</c:f>
              <c:numCache>
                <c:formatCode>General</c:formatCode>
                <c:ptCount val="3"/>
                <c:pt idx="0">
                  <c:v>5.7355269333333337E-3</c:v>
                </c:pt>
                <c:pt idx="1">
                  <c:v>7.3921725053000006E-9</c:v>
                </c:pt>
                <c:pt idx="2">
                  <c:v>1.779340184898E-3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5-4287-91F6-5D70DC4A0527}"/>
            </c:ext>
          </c:extLst>
        </c:ser>
        <c:ser>
          <c:idx val="2"/>
          <c:order val="2"/>
          <c:tx>
            <c:strRef>
              <c:f>'Synthèse par scénario'!$H$7</c:f>
              <c:strCache>
                <c:ptCount val="1"/>
                <c:pt idx="0">
                  <c:v>Feutre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scénario'!$I$7:$K$7</c:f>
              <c:numCache>
                <c:formatCode>General</c:formatCode>
                <c:ptCount val="3"/>
                <c:pt idx="0">
                  <c:v>6.4000000000000003E-3</c:v>
                </c:pt>
                <c:pt idx="1">
                  <c:v>9.2260954103999996E-9</c:v>
                </c:pt>
                <c:pt idx="2">
                  <c:v>1.4583999999999999E-3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5-4287-91F6-5D70DC4A0527}"/>
            </c:ext>
          </c:extLst>
        </c:ser>
        <c:ser>
          <c:idx val="3"/>
          <c:order val="3"/>
          <c:tx>
            <c:strRef>
              <c:f>'Synthèse par scénario'!$H$8</c:f>
              <c:strCache>
                <c:ptCount val="1"/>
                <c:pt idx="0">
                  <c:v>Cartouche feutre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scénario'!$I$8:$K$8</c:f>
              <c:numCache>
                <c:formatCode>General</c:formatCode>
                <c:ptCount val="3"/>
                <c:pt idx="0">
                  <c:v>1.8463603333333335E-2</c:v>
                </c:pt>
                <c:pt idx="1">
                  <c:v>2.1226551076579899E-8</c:v>
                </c:pt>
                <c:pt idx="2">
                  <c:v>5.0472077028800005E-3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5-4287-91F6-5D70DC4A0527}"/>
            </c:ext>
          </c:extLst>
        </c:ser>
        <c:ser>
          <c:idx val="4"/>
          <c:order val="4"/>
          <c:tx>
            <c:strRef>
              <c:f>'Synthèse par scénario'!$H$9</c:f>
              <c:strCache>
                <c:ptCount val="1"/>
                <c:pt idx="0">
                  <c:v>Corps (transport inclus)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scénario'!$I$9:$K$9</c:f>
              <c:numCache>
                <c:formatCode>General</c:formatCode>
                <c:ptCount val="3"/>
                <c:pt idx="0">
                  <c:v>2.2507992626940001E-2</c:v>
                </c:pt>
                <c:pt idx="1">
                  <c:v>2.3624545837671306E-8</c:v>
                </c:pt>
                <c:pt idx="2">
                  <c:v>1.3086113130682394E-3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05-4287-91F6-5D70DC4A0527}"/>
            </c:ext>
          </c:extLst>
        </c:ser>
        <c:ser>
          <c:idx val="5"/>
          <c:order val="5"/>
          <c:tx>
            <c:strRef>
              <c:f>'Synthèse par scénario'!$H$10</c:f>
              <c:strCache>
                <c:ptCount val="1"/>
                <c:pt idx="0">
                  <c:v>Encre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'Synthèse par scénario'!$I$4:$K$4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scénario'!$I$10:$K$10</c:f>
              <c:numCache>
                <c:formatCode>General</c:formatCode>
                <c:ptCount val="3"/>
                <c:pt idx="0">
                  <c:v>1.6228098E-2</c:v>
                </c:pt>
                <c:pt idx="1">
                  <c:v>2.0832832128234E-8</c:v>
                </c:pt>
                <c:pt idx="2">
                  <c:v>3.2121259834529997E-3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05-4287-91F6-5D70DC4A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95855"/>
        <c:axId val="885139935"/>
      </c:barChart>
      <c:catAx>
        <c:axId val="22599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139935"/>
        <c:crosses val="autoZero"/>
        <c:auto val="1"/>
        <c:lblAlgn val="ctr"/>
        <c:lblOffset val="100"/>
        <c:noMultiLvlLbl val="0"/>
      </c:catAx>
      <c:valAx>
        <c:axId val="88513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599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Impacts des composants (scénario 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scénario'!$M$5</c:f>
              <c:strCache>
                <c:ptCount val="1"/>
                <c:pt idx="0">
                  <c:v>Capuchon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scénario'!$N$5:$P$5</c:f>
              <c:numCache>
                <c:formatCode>General</c:formatCode>
                <c:ptCount val="3"/>
                <c:pt idx="0">
                  <c:v>5.7355269333333337E-3</c:v>
                </c:pt>
                <c:pt idx="1">
                  <c:v>7.3921725053000006E-9</c:v>
                </c:pt>
                <c:pt idx="2">
                  <c:v>1.779340184898E-3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B-4251-AD65-341CCFBED175}"/>
            </c:ext>
          </c:extLst>
        </c:ser>
        <c:ser>
          <c:idx val="1"/>
          <c:order val="1"/>
          <c:tx>
            <c:strRef>
              <c:f>'Synthèse par scénario'!$M$6</c:f>
              <c:strCache>
                <c:ptCount val="1"/>
                <c:pt idx="0">
                  <c:v>Support feutre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scénario'!$N$6:$P$6</c:f>
              <c:numCache>
                <c:formatCode>General</c:formatCode>
                <c:ptCount val="3"/>
                <c:pt idx="0">
                  <c:v>5.7355269333333337E-3</c:v>
                </c:pt>
                <c:pt idx="1">
                  <c:v>7.3921725053000006E-9</c:v>
                </c:pt>
                <c:pt idx="2">
                  <c:v>1.779340184898E-3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B-4251-AD65-341CCFBED175}"/>
            </c:ext>
          </c:extLst>
        </c:ser>
        <c:ser>
          <c:idx val="2"/>
          <c:order val="2"/>
          <c:tx>
            <c:strRef>
              <c:f>'Synthèse par scénario'!$M$7</c:f>
              <c:strCache>
                <c:ptCount val="1"/>
                <c:pt idx="0">
                  <c:v>Feutre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scénario'!$N$7:$P$7</c:f>
              <c:numCache>
                <c:formatCode>General</c:formatCode>
                <c:ptCount val="3"/>
                <c:pt idx="0">
                  <c:v>6.4000000000000003E-3</c:v>
                </c:pt>
                <c:pt idx="1">
                  <c:v>9.2260954103999996E-9</c:v>
                </c:pt>
                <c:pt idx="2">
                  <c:v>1.4583999999999999E-3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B-4251-AD65-341CCFBED175}"/>
            </c:ext>
          </c:extLst>
        </c:ser>
        <c:ser>
          <c:idx val="3"/>
          <c:order val="3"/>
          <c:tx>
            <c:strRef>
              <c:f>'Synthèse par scénario'!$M$8</c:f>
              <c:strCache>
                <c:ptCount val="1"/>
                <c:pt idx="0">
                  <c:v>Cartouche feutre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scénario'!$N$8:$P$8</c:f>
              <c:numCache>
                <c:formatCode>General</c:formatCode>
                <c:ptCount val="3"/>
                <c:pt idx="0">
                  <c:v>1.8463603333333335E-2</c:v>
                </c:pt>
                <c:pt idx="1">
                  <c:v>2.1226551076579899E-8</c:v>
                </c:pt>
                <c:pt idx="2">
                  <c:v>5.0472077028800005E-3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0B-4251-AD65-341CCFBED175}"/>
            </c:ext>
          </c:extLst>
        </c:ser>
        <c:ser>
          <c:idx val="4"/>
          <c:order val="4"/>
          <c:tx>
            <c:strRef>
              <c:f>'Synthèse par scénario'!$M$9</c:f>
              <c:strCache>
                <c:ptCount val="1"/>
                <c:pt idx="0">
                  <c:v>Corps (transport inclus)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scénario'!$N$9:$P$9</c:f>
              <c:numCache>
                <c:formatCode>General</c:formatCode>
                <c:ptCount val="3"/>
                <c:pt idx="0">
                  <c:v>1.8673893260517337E-2</c:v>
                </c:pt>
                <c:pt idx="1">
                  <c:v>2.2750050193665118E-8</c:v>
                </c:pt>
                <c:pt idx="2">
                  <c:v>6.5583268808499726E-4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0B-4251-AD65-341CCFBED175}"/>
            </c:ext>
          </c:extLst>
        </c:ser>
        <c:ser>
          <c:idx val="5"/>
          <c:order val="5"/>
          <c:tx>
            <c:strRef>
              <c:f>'Synthèse par scénario'!$M$10</c:f>
              <c:strCache>
                <c:ptCount val="1"/>
                <c:pt idx="0">
                  <c:v>Encre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'Synthèse par scénario'!$N$4:$P$4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scénario'!$N$10:$P$10</c:f>
              <c:numCache>
                <c:formatCode>General</c:formatCode>
                <c:ptCount val="3"/>
                <c:pt idx="0">
                  <c:v>1.6228098E-2</c:v>
                </c:pt>
                <c:pt idx="1">
                  <c:v>2.0832832128234E-8</c:v>
                </c:pt>
                <c:pt idx="2">
                  <c:v>3.2121259834529997E-3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0B-4251-AD65-341CCFBED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3417279"/>
        <c:axId val="660382847"/>
      </c:barChart>
      <c:catAx>
        <c:axId val="37341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0382847"/>
        <c:crosses val="autoZero"/>
        <c:auto val="1"/>
        <c:lblAlgn val="ctr"/>
        <c:lblOffset val="100"/>
        <c:noMultiLvlLbl val="0"/>
      </c:catAx>
      <c:valAx>
        <c:axId val="66038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3417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de production (scénario 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scénario'!$B$28</c:f>
              <c:strCache>
                <c:ptCount val="1"/>
                <c:pt idx="0">
                  <c:v>Production des composants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scénario'!$C$27:$E$27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scénario'!$C$28:$E$28</c:f>
              <c:numCache>
                <c:formatCode>General</c:formatCode>
                <c:ptCount val="3"/>
                <c:pt idx="0">
                  <c:v>9.5579207200000002E-2</c:v>
                </c:pt>
                <c:pt idx="1">
                  <c:v>1.215111174155639E-7</c:v>
                </c:pt>
                <c:pt idx="2">
                  <c:v>2.6621465442863999E-2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3-4709-A05D-9EABED44510F}"/>
            </c:ext>
          </c:extLst>
        </c:ser>
        <c:ser>
          <c:idx val="1"/>
          <c:order val="1"/>
          <c:tx>
            <c:strRef>
              <c:f>'Synthèse par scénario'!$B$29</c:f>
              <c:strCache>
                <c:ptCount val="1"/>
                <c:pt idx="0">
                  <c:v>Transport du corps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scénario'!$C$27:$E$27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scénario'!$C$29:$E$29</c:f>
              <c:numCache>
                <c:formatCode>General</c:formatCode>
                <c:ptCount val="3"/>
                <c:pt idx="0">
                  <c:v>1.7047772693999999E-4</c:v>
                </c:pt>
                <c:pt idx="1">
                  <c:v>2.5534107313230564E-10</c:v>
                </c:pt>
                <c:pt idx="2">
                  <c:v>2.58469413037395E-5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3-4709-A05D-9EABED44510F}"/>
            </c:ext>
          </c:extLst>
        </c:ser>
        <c:ser>
          <c:idx val="2"/>
          <c:order val="2"/>
          <c:tx>
            <c:strRef>
              <c:f>'Synthèse par scénario'!$B$30</c:f>
              <c:strCache>
                <c:ptCount val="1"/>
                <c:pt idx="0">
                  <c:v>Assemblage marqueur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scénario'!$C$27:$E$27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scénario'!$C$30:$E$30</c:f>
              <c:numCache>
                <c:formatCode>General</c:formatCode>
                <c:ptCount val="3"/>
                <c:pt idx="0">
                  <c:v>5.4756795E-4</c:v>
                </c:pt>
                <c:pt idx="1">
                  <c:v>1.0033521664724999E-9</c:v>
                </c:pt>
                <c:pt idx="2">
                  <c:v>6.3113893019999993E-5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3-4709-A05D-9EABED445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7391279"/>
        <c:axId val="513026207"/>
      </c:barChart>
      <c:catAx>
        <c:axId val="80739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3026207"/>
        <c:crosses val="autoZero"/>
        <c:auto val="1"/>
        <c:lblAlgn val="ctr"/>
        <c:lblOffset val="100"/>
        <c:noMultiLvlLbl val="0"/>
      </c:catAx>
      <c:valAx>
        <c:axId val="51302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3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Impacts de</a:t>
            </a:r>
            <a:r>
              <a:rPr lang="fr-FR" baseline="0"/>
              <a:t> production (scénario 2)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'Synthèse par scénario'!$H$28</c:f>
              <c:strCache>
                <c:ptCount val="1"/>
                <c:pt idx="0">
                  <c:v>Production des composants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'Synthèse par scénario'!$I$27:$K$27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scénario'!$I$28:$K$28</c:f>
              <c:numCache>
                <c:formatCode>General</c:formatCode>
                <c:ptCount val="3"/>
                <c:pt idx="0">
                  <c:v>7.4900270099999999E-2</c:v>
                </c:pt>
                <c:pt idx="1">
                  <c:v>8.943902839035289E-8</c:v>
                </c:pt>
                <c:pt idx="2">
                  <c:v>1.4559178427893499E-2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9-4B51-B72B-EEE1BDE2AD19}"/>
            </c:ext>
          </c:extLst>
        </c:ser>
        <c:ser>
          <c:idx val="1"/>
          <c:order val="1"/>
          <c:tx>
            <c:strRef>
              <c:f>'Synthèse par scénario'!$H$29</c:f>
              <c:strCache>
                <c:ptCount val="1"/>
                <c:pt idx="0">
                  <c:v>Transport du corps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'Synthèse par scénario'!$I$27:$K$27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scénario'!$I$29:$K$29</c:f>
              <c:numCache>
                <c:formatCode>General</c:formatCode>
                <c:ptCount val="3"/>
                <c:pt idx="0">
                  <c:v>1.7047772693999999E-4</c:v>
                </c:pt>
                <c:pt idx="1">
                  <c:v>2.5534107313230564E-10</c:v>
                </c:pt>
                <c:pt idx="2">
                  <c:v>2.58469413037395E-5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9-4B51-B72B-EEE1BDE2AD19}"/>
            </c:ext>
          </c:extLst>
        </c:ser>
        <c:ser>
          <c:idx val="2"/>
          <c:order val="2"/>
          <c:tx>
            <c:strRef>
              <c:f>'Synthèse par scénario'!$H$30</c:f>
              <c:strCache>
                <c:ptCount val="1"/>
                <c:pt idx="0">
                  <c:v>Assemblage marqueur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'Synthèse par scénario'!$I$27:$K$27</c:f>
              <c:strCache>
                <c:ptCount val="3"/>
                <c:pt idx="0">
                  <c:v>Réchauffement climatique en kg CO2 eq</c:v>
                </c:pt>
                <c:pt idx="1">
                  <c:v>Epuisement des ressources en USD2013</c:v>
                </c:pt>
                <c:pt idx="2">
                  <c:v>Santé humaine en DALY</c:v>
                </c:pt>
              </c:strCache>
            </c:strRef>
          </c:cat>
          <c:val>
            <c:numRef>
              <c:f>'Synthèse par scénario'!$I$30:$K$30</c:f>
              <c:numCache>
                <c:formatCode>General</c:formatCode>
                <c:ptCount val="3"/>
                <c:pt idx="0">
                  <c:v>5.4756795E-4</c:v>
                </c:pt>
                <c:pt idx="1">
                  <c:v>1.0033521664724999E-9</c:v>
                </c:pt>
                <c:pt idx="2">
                  <c:v>6.3113893019999993E-5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B9-4B51-B72B-EEE1BDE2A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809471"/>
        <c:axId val="452314143"/>
      </c:barChart>
      <c:catAx>
        <c:axId val="51180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314143"/>
        <c:crosses val="autoZero"/>
        <c:auto val="1"/>
        <c:lblAlgn val="ctr"/>
        <c:lblOffset val="100"/>
        <c:noMultiLvlLbl val="0"/>
      </c:catAx>
      <c:valAx>
        <c:axId val="45231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180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</xdr:row>
      <xdr:rowOff>904875</xdr:rowOff>
    </xdr:from>
    <xdr:ext cx="1195327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B0D8BD2-E60D-4C7F-97EA-B308E98702FB}"/>
            </a:ext>
          </a:extLst>
        </xdr:cNvPr>
        <xdr:cNvSpPr txBox="1"/>
      </xdr:nvSpPr>
      <xdr:spPr>
        <a:xfrm>
          <a:off x="2981325" y="1085850"/>
          <a:ext cx="11953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colonne à</a:t>
          </a:r>
          <a:r>
            <a:rPr lang="fr-FR" sz="1100" baseline="0"/>
            <a:t> remplir</a:t>
          </a:r>
          <a:endParaRPr lang="fr-FR" sz="1100"/>
        </a:p>
      </xdr:txBody>
    </xdr:sp>
    <xdr:clientData/>
  </xdr:oneCellAnchor>
  <xdr:twoCellAnchor>
    <xdr:from>
      <xdr:col>2</xdr:col>
      <xdr:colOff>1247775</xdr:colOff>
      <xdr:row>2</xdr:row>
      <xdr:rowOff>200025</xdr:rowOff>
    </xdr:from>
    <xdr:to>
      <xdr:col>2</xdr:col>
      <xdr:colOff>1390650</xdr:colOff>
      <xdr:row>2</xdr:row>
      <xdr:rowOff>390525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F3C18B9C-888A-4217-BF71-7E0023B4C131}"/>
            </a:ext>
          </a:extLst>
        </xdr:cNvPr>
        <xdr:cNvSpPr/>
      </xdr:nvSpPr>
      <xdr:spPr>
        <a:xfrm>
          <a:off x="3514725" y="1304925"/>
          <a:ext cx="142875" cy="190500"/>
        </a:xfrm>
        <a:prstGeom prst="downArrow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2733675</xdr:colOff>
      <xdr:row>1</xdr:row>
      <xdr:rowOff>895350</xdr:rowOff>
    </xdr:from>
    <xdr:ext cx="1195327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B54DE5A-E4BD-4EE7-9F41-1076FB820583}"/>
            </a:ext>
          </a:extLst>
        </xdr:cNvPr>
        <xdr:cNvSpPr txBox="1"/>
      </xdr:nvSpPr>
      <xdr:spPr>
        <a:xfrm>
          <a:off x="5000625" y="1076325"/>
          <a:ext cx="119532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colonne à</a:t>
          </a:r>
          <a:r>
            <a:rPr lang="fr-FR" sz="1100" baseline="0"/>
            <a:t> remplir</a:t>
          </a:r>
          <a:endParaRPr lang="fr-FR" sz="1100"/>
        </a:p>
      </xdr:txBody>
    </xdr:sp>
    <xdr:clientData/>
  </xdr:oneCellAnchor>
  <xdr:twoCellAnchor>
    <xdr:from>
      <xdr:col>3</xdr:col>
      <xdr:colOff>314325</xdr:colOff>
      <xdr:row>2</xdr:row>
      <xdr:rowOff>187325</xdr:rowOff>
    </xdr:from>
    <xdr:to>
      <xdr:col>3</xdr:col>
      <xdr:colOff>454025</xdr:colOff>
      <xdr:row>2</xdr:row>
      <xdr:rowOff>377825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3ACBC7CB-7C1D-4A5E-ADF6-75B1F14E8DED}"/>
            </a:ext>
          </a:extLst>
        </xdr:cNvPr>
        <xdr:cNvSpPr/>
      </xdr:nvSpPr>
      <xdr:spPr>
        <a:xfrm>
          <a:off x="5534025" y="1292225"/>
          <a:ext cx="139700" cy="190500"/>
        </a:xfrm>
        <a:prstGeom prst="downArrow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1987551</xdr:colOff>
      <xdr:row>2</xdr:row>
      <xdr:rowOff>387351</xdr:rowOff>
    </xdr:from>
    <xdr:to>
      <xdr:col>3</xdr:col>
      <xdr:colOff>15876</xdr:colOff>
      <xdr:row>14</xdr:row>
      <xdr:rowOff>57150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A9C58436-9543-4450-B1D8-8176AD057A0F}"/>
            </a:ext>
          </a:extLst>
        </xdr:cNvPr>
        <xdr:cNvSpPr/>
      </xdr:nvSpPr>
      <xdr:spPr>
        <a:xfrm>
          <a:off x="2225676" y="1492251"/>
          <a:ext cx="3009900" cy="2736849"/>
        </a:xfrm>
        <a:prstGeom prst="roundRect">
          <a:avLst>
            <a:gd name="adj" fmla="val 3148"/>
          </a:avLst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44451</xdr:colOff>
      <xdr:row>2</xdr:row>
      <xdr:rowOff>400051</xdr:rowOff>
    </xdr:from>
    <xdr:to>
      <xdr:col>4</xdr:col>
      <xdr:colOff>57150</xdr:colOff>
      <xdr:row>14</xdr:row>
      <xdr:rowOff>66675</xdr:rowOff>
    </xdr:to>
    <xdr:sp macro="" textlink="">
      <xdr:nvSpPr>
        <xdr:cNvPr id="7" name="Rectangle : coins arrondis 6">
          <a:extLst>
            <a:ext uri="{FF2B5EF4-FFF2-40B4-BE49-F238E27FC236}">
              <a16:creationId xmlns:a16="http://schemas.microsoft.com/office/drawing/2014/main" id="{339C3D54-6BAD-4F99-9491-D223C02B78E5}"/>
            </a:ext>
          </a:extLst>
        </xdr:cNvPr>
        <xdr:cNvSpPr/>
      </xdr:nvSpPr>
      <xdr:spPr>
        <a:xfrm>
          <a:off x="5264151" y="1504951"/>
          <a:ext cx="774699" cy="2733674"/>
        </a:xfrm>
        <a:prstGeom prst="roundRect">
          <a:avLst>
            <a:gd name="adj" fmla="val 3148"/>
          </a:avLst>
        </a:prstGeom>
        <a:noFill/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1573389</xdr:colOff>
      <xdr:row>0</xdr:row>
      <xdr:rowOff>127000</xdr:rowOff>
    </xdr:from>
    <xdr:ext cx="2882584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3501F38-6122-4928-AFF1-A3BC57434591}"/>
            </a:ext>
          </a:extLst>
        </xdr:cNvPr>
        <xdr:cNvSpPr txBox="1"/>
      </xdr:nvSpPr>
      <xdr:spPr>
        <a:xfrm>
          <a:off x="7048500" y="127000"/>
          <a:ext cx="28825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Mettre la même unité que la base de données</a:t>
          </a:r>
        </a:p>
      </xdr:txBody>
    </xdr:sp>
    <xdr:clientData/>
  </xdr:oneCellAnchor>
  <xdr:twoCellAnchor>
    <xdr:from>
      <xdr:col>5</xdr:col>
      <xdr:colOff>123472</xdr:colOff>
      <xdr:row>1</xdr:row>
      <xdr:rowOff>165806</xdr:rowOff>
    </xdr:from>
    <xdr:to>
      <xdr:col>5</xdr:col>
      <xdr:colOff>263172</xdr:colOff>
      <xdr:row>2</xdr:row>
      <xdr:rowOff>172861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CCB15A7C-0D54-4C28-9F3D-F4287B2A4642}"/>
            </a:ext>
          </a:extLst>
        </xdr:cNvPr>
        <xdr:cNvSpPr/>
      </xdr:nvSpPr>
      <xdr:spPr>
        <a:xfrm>
          <a:off x="8336139" y="349250"/>
          <a:ext cx="139700" cy="19050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1594556</xdr:colOff>
      <xdr:row>0</xdr:row>
      <xdr:rowOff>127000</xdr:rowOff>
    </xdr:from>
    <xdr:ext cx="2882584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9777735-695C-44A8-914C-EDC1D47A4A61}"/>
            </a:ext>
          </a:extLst>
        </xdr:cNvPr>
        <xdr:cNvSpPr txBox="1"/>
      </xdr:nvSpPr>
      <xdr:spPr>
        <a:xfrm>
          <a:off x="7069667" y="127000"/>
          <a:ext cx="28825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Mettre la même unité que la base de données</a:t>
          </a:r>
        </a:p>
      </xdr:txBody>
    </xdr:sp>
    <xdr:clientData/>
  </xdr:oneCellAnchor>
  <xdr:twoCellAnchor>
    <xdr:from>
      <xdr:col>5</xdr:col>
      <xdr:colOff>130528</xdr:colOff>
      <xdr:row>1</xdr:row>
      <xdr:rowOff>165806</xdr:rowOff>
    </xdr:from>
    <xdr:to>
      <xdr:col>5</xdr:col>
      <xdr:colOff>270228</xdr:colOff>
      <xdr:row>2</xdr:row>
      <xdr:rowOff>172861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2F317CF2-5407-406F-AB91-842CD9E19ED4}"/>
            </a:ext>
          </a:extLst>
        </xdr:cNvPr>
        <xdr:cNvSpPr/>
      </xdr:nvSpPr>
      <xdr:spPr>
        <a:xfrm>
          <a:off x="8357306" y="349250"/>
          <a:ext cx="139700" cy="19050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1622778</xdr:colOff>
      <xdr:row>0</xdr:row>
      <xdr:rowOff>134055</xdr:rowOff>
    </xdr:from>
    <xdr:ext cx="2882584" cy="26456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5E68BE39-87EF-4FE9-911E-B54F49C30CD4}"/>
            </a:ext>
          </a:extLst>
        </xdr:cNvPr>
        <xdr:cNvSpPr txBox="1"/>
      </xdr:nvSpPr>
      <xdr:spPr>
        <a:xfrm>
          <a:off x="7231945" y="134055"/>
          <a:ext cx="28825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>
              <a:solidFill>
                <a:srgbClr val="FF0000"/>
              </a:solidFill>
            </a:rPr>
            <a:t>Mettre la même unité que la base de données</a:t>
          </a:r>
        </a:p>
      </xdr:txBody>
    </xdr:sp>
    <xdr:clientData/>
  </xdr:oneCellAnchor>
  <xdr:twoCellAnchor>
    <xdr:from>
      <xdr:col>5</xdr:col>
      <xdr:colOff>137584</xdr:colOff>
      <xdr:row>1</xdr:row>
      <xdr:rowOff>172861</xdr:rowOff>
    </xdr:from>
    <xdr:to>
      <xdr:col>5</xdr:col>
      <xdr:colOff>277284</xdr:colOff>
      <xdr:row>2</xdr:row>
      <xdr:rowOff>179916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D8FD9D70-28A8-4A32-9FE0-897CDD5DDA8E}"/>
            </a:ext>
          </a:extLst>
        </xdr:cNvPr>
        <xdr:cNvSpPr/>
      </xdr:nvSpPr>
      <xdr:spPr>
        <a:xfrm>
          <a:off x="8519584" y="356305"/>
          <a:ext cx="139700" cy="19050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182562</xdr:colOff>
      <xdr:row>0</xdr:row>
      <xdr:rowOff>74612</xdr:rowOff>
    </xdr:from>
    <xdr:to>
      <xdr:col>12</xdr:col>
      <xdr:colOff>182562</xdr:colOff>
      <xdr:row>15</xdr:row>
      <xdr:rowOff>115887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41A16DA-F6F9-4552-8F57-39DFE0D28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611187</xdr:colOff>
      <xdr:row>16</xdr:row>
      <xdr:rowOff>57149</xdr:rowOff>
    </xdr:from>
    <xdr:to>
      <xdr:col>4</xdr:col>
      <xdr:colOff>238125</xdr:colOff>
      <xdr:row>29</xdr:row>
      <xdr:rowOff>106361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888134D-C0B4-4D98-BCA8-D5925FB3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501650</xdr:colOff>
      <xdr:row>16</xdr:row>
      <xdr:rowOff>63500</xdr:rowOff>
    </xdr:from>
    <xdr:to>
      <xdr:col>9</xdr:col>
      <xdr:colOff>684213</xdr:colOff>
      <xdr:row>29</xdr:row>
      <xdr:rowOff>115887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EE0DEA3-46A6-4811-A0EB-9E48513CA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149225</xdr:colOff>
      <xdr:row>16</xdr:row>
      <xdr:rowOff>66675</xdr:rowOff>
    </xdr:from>
    <xdr:to>
      <xdr:col>15</xdr:col>
      <xdr:colOff>331788</xdr:colOff>
      <xdr:row>29</xdr:row>
      <xdr:rowOff>115887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0818375-DEB5-4930-A5C0-584610E5E2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11</xdr:row>
      <xdr:rowOff>47624</xdr:rowOff>
    </xdr:from>
    <xdr:to>
      <xdr:col>5</xdr:col>
      <xdr:colOff>781050</xdr:colOff>
      <xdr:row>24</xdr:row>
      <xdr:rowOff>85724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0F105F8-2889-4BBB-891C-7103C962E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885826</xdr:colOff>
      <xdr:row>10</xdr:row>
      <xdr:rowOff>58737</xdr:rowOff>
    </xdr:from>
    <xdr:to>
      <xdr:col>11</xdr:col>
      <xdr:colOff>247651</xdr:colOff>
      <xdr:row>24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F67574F-64E2-4C62-915F-8A4858251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835026</xdr:colOff>
      <xdr:row>10</xdr:row>
      <xdr:rowOff>87312</xdr:rowOff>
    </xdr:from>
    <xdr:to>
      <xdr:col>16</xdr:col>
      <xdr:colOff>76201</xdr:colOff>
      <xdr:row>24</xdr:row>
      <xdr:rowOff>19050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8B97279-FB81-426C-9D58-9DC005D54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31</xdr:row>
      <xdr:rowOff>95249</xdr:rowOff>
    </xdr:from>
    <xdr:to>
      <xdr:col>5</xdr:col>
      <xdr:colOff>387350</xdr:colOff>
      <xdr:row>45</xdr:row>
      <xdr:rowOff>114300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C914A33-B080-43ED-937E-D2177BDDC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85725</xdr:colOff>
      <xdr:row>31</xdr:row>
      <xdr:rowOff>126999</xdr:rowOff>
    </xdr:from>
    <xdr:to>
      <xdr:col>11</xdr:col>
      <xdr:colOff>234950</xdr:colOff>
      <xdr:row>44</xdr:row>
      <xdr:rowOff>125411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6F0AF0ED-85DB-46D1-B828-645CDB188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76200</xdr:colOff>
      <xdr:row>31</xdr:row>
      <xdr:rowOff>146049</xdr:rowOff>
    </xdr:from>
    <xdr:to>
      <xdr:col>16</xdr:col>
      <xdr:colOff>168275</xdr:colOff>
      <xdr:row>45</xdr:row>
      <xdr:rowOff>1586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DD68003-9497-44F1-8ECF-8580D3CD0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57150</xdr:colOff>
      <xdr:row>53</xdr:row>
      <xdr:rowOff>174624</xdr:rowOff>
    </xdr:from>
    <xdr:to>
      <xdr:col>5</xdr:col>
      <xdr:colOff>390525</xdr:colOff>
      <xdr:row>67</xdr:row>
      <xdr:rowOff>68261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61DDE4D4-C307-4457-BB67-88195E5D3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954087</xdr:colOff>
      <xdr:row>54</xdr:row>
      <xdr:rowOff>0</xdr:rowOff>
    </xdr:from>
    <xdr:to>
      <xdr:col>11</xdr:col>
      <xdr:colOff>161925</xdr:colOff>
      <xdr:row>67</xdr:row>
      <xdr:rowOff>114300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FF592818-900F-4582-AB94-8D1F7F0EF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66675</xdr:colOff>
      <xdr:row>54</xdr:row>
      <xdr:rowOff>1587</xdr:rowOff>
    </xdr:from>
    <xdr:to>
      <xdr:col>16</xdr:col>
      <xdr:colOff>382587</xdr:colOff>
      <xdr:row>67</xdr:row>
      <xdr:rowOff>104775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6D341FBF-687D-45EF-8B8C-2F9239FB7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368300</xdr:colOff>
      <xdr:row>0</xdr:row>
      <xdr:rowOff>0</xdr:rowOff>
    </xdr:from>
    <xdr:to>
      <xdr:col>11</xdr:col>
      <xdr:colOff>666750</xdr:colOff>
      <xdr:row>69</xdr:row>
      <xdr:rowOff>126999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212EC80A-4E8E-4DD1-89B8-684943B5014D}"/>
            </a:ext>
          </a:extLst>
        </xdr:cNvPr>
        <xdr:cNvSpPr/>
      </xdr:nvSpPr>
      <xdr:spPr>
        <a:xfrm>
          <a:off x="14722475" y="0"/>
          <a:ext cx="298450" cy="1424304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149225</xdr:colOff>
      <xdr:row>0</xdr:row>
      <xdr:rowOff>0</xdr:rowOff>
    </xdr:from>
    <xdr:to>
      <xdr:col>6</xdr:col>
      <xdr:colOff>447675</xdr:colOff>
      <xdr:row>69</xdr:row>
      <xdr:rowOff>123824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5C6920B-6B04-47F0-B2D1-EF125CA1DFF1}"/>
            </a:ext>
          </a:extLst>
        </xdr:cNvPr>
        <xdr:cNvSpPr/>
      </xdr:nvSpPr>
      <xdr:spPr>
        <a:xfrm>
          <a:off x="7654925" y="0"/>
          <a:ext cx="298450" cy="1423987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cocostsvalue.com/data-tools-book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6954-E5AC-4A7A-8789-AF6AE690AA24}">
  <dimension ref="B2:O19"/>
  <sheetViews>
    <sheetView tabSelected="1" workbookViewId="0"/>
  </sheetViews>
  <sheetFormatPr baseColWidth="10" defaultRowHeight="14.5" x14ac:dyDescent="0.35"/>
  <cols>
    <col min="1" max="1" width="3.36328125" customWidth="1"/>
    <col min="2" max="2" width="29" customWidth="1"/>
    <col min="3" max="3" width="42.26953125" customWidth="1"/>
    <col min="6" max="6" width="10.90625" customWidth="1"/>
    <col min="10" max="10" width="16.26953125" customWidth="1"/>
    <col min="11" max="11" width="3.54296875" customWidth="1"/>
    <col min="15" max="15" width="20.7265625" customWidth="1"/>
  </cols>
  <sheetData>
    <row r="2" spans="2:15" ht="73" customHeight="1" x14ac:dyDescent="0.35">
      <c r="B2" s="46" t="s">
        <v>109</v>
      </c>
      <c r="C2" s="46"/>
      <c r="D2" s="46"/>
      <c r="E2" s="46"/>
      <c r="F2" s="46"/>
      <c r="G2" s="46"/>
      <c r="H2" s="46"/>
      <c r="I2" s="46"/>
      <c r="J2" s="46"/>
      <c r="K2" s="46"/>
    </row>
    <row r="3" spans="2:15" ht="35" customHeight="1" x14ac:dyDescent="0.35">
      <c r="G3" s="46" t="s">
        <v>110</v>
      </c>
      <c r="H3" s="46"/>
      <c r="I3" s="46"/>
      <c r="J3" s="46"/>
      <c r="K3" s="46"/>
      <c r="L3" s="46"/>
      <c r="M3" s="46"/>
      <c r="N3" s="46"/>
      <c r="O3" s="46"/>
    </row>
    <row r="4" spans="2:15" s="24" customFormat="1" ht="18.5" customHeight="1" thickBot="1" x14ac:dyDescent="0.4">
      <c r="B4" s="27" t="s">
        <v>97</v>
      </c>
      <c r="C4" s="42">
        <v>46140</v>
      </c>
      <c r="G4" s="46"/>
      <c r="H4" s="46"/>
      <c r="I4" s="46"/>
      <c r="J4" s="46"/>
      <c r="K4" s="46"/>
      <c r="L4" s="46"/>
      <c r="M4" s="46"/>
      <c r="N4" s="46"/>
      <c r="O4" s="46"/>
    </row>
    <row r="5" spans="2:15" s="24" customFormat="1" ht="18.5" customHeight="1" thickBot="1" x14ac:dyDescent="0.4">
      <c r="B5" s="27" t="s">
        <v>96</v>
      </c>
      <c r="C5" s="25" t="s">
        <v>95</v>
      </c>
      <c r="G5" s="29"/>
      <c r="H5" t="s">
        <v>111</v>
      </c>
    </row>
    <row r="6" spans="2:15" s="24" customFormat="1" ht="18.5" customHeight="1" thickBot="1" x14ac:dyDescent="0.4">
      <c r="B6" s="28"/>
      <c r="H6" s="45" t="s">
        <v>116</v>
      </c>
    </row>
    <row r="7" spans="2:15" s="24" customFormat="1" ht="18.5" customHeight="1" thickBot="1" x14ac:dyDescent="0.4">
      <c r="B7" s="27" t="s">
        <v>99</v>
      </c>
      <c r="C7" s="25" t="s">
        <v>82</v>
      </c>
      <c r="G7" s="34"/>
      <c r="H7" t="s">
        <v>112</v>
      </c>
    </row>
    <row r="8" spans="2:15" s="24" customFormat="1" ht="18.5" customHeight="1" x14ac:dyDescent="0.35">
      <c r="B8" s="27" t="s">
        <v>98</v>
      </c>
      <c r="C8" s="25" t="s">
        <v>83</v>
      </c>
    </row>
    <row r="9" spans="2:15" s="24" customFormat="1" ht="18.5" customHeight="1" x14ac:dyDescent="0.35">
      <c r="B9" s="27" t="s">
        <v>100</v>
      </c>
      <c r="C9" s="26" t="s">
        <v>84</v>
      </c>
    </row>
    <row r="10" spans="2:15" s="24" customFormat="1" ht="18.5" customHeight="1" x14ac:dyDescent="0.35">
      <c r="B10" s="28"/>
      <c r="G10" s="24" t="s">
        <v>105</v>
      </c>
      <c r="L10" s="24" t="s">
        <v>107</v>
      </c>
    </row>
    <row r="11" spans="2:15" s="24" customFormat="1" ht="18.5" customHeight="1" x14ac:dyDescent="0.35">
      <c r="B11" s="22" t="s">
        <v>85</v>
      </c>
      <c r="C11" s="22" t="s">
        <v>86</v>
      </c>
      <c r="D11" s="22" t="s">
        <v>15</v>
      </c>
      <c r="G11" s="11" t="s">
        <v>101</v>
      </c>
      <c r="H11" s="1"/>
      <c r="I11" s="1"/>
      <c r="J11" s="1"/>
      <c r="L11" s="11" t="s">
        <v>35</v>
      </c>
      <c r="M11" s="1"/>
      <c r="N11" s="1"/>
      <c r="O11" s="1"/>
    </row>
    <row r="12" spans="2:15" s="24" customFormat="1" ht="18.5" customHeight="1" x14ac:dyDescent="0.35">
      <c r="B12" s="43" t="s">
        <v>8</v>
      </c>
      <c r="C12" s="23" t="s">
        <v>91</v>
      </c>
      <c r="D12" s="23" t="s">
        <v>92</v>
      </c>
      <c r="G12" s="4"/>
      <c r="H12" s="9" t="s">
        <v>102</v>
      </c>
      <c r="I12" s="4"/>
      <c r="J12" s="4"/>
      <c r="L12" s="4"/>
      <c r="M12" s="9" t="s">
        <v>0</v>
      </c>
      <c r="N12" s="4"/>
      <c r="O12" s="4"/>
    </row>
    <row r="13" spans="2:15" s="24" customFormat="1" ht="18.5" customHeight="1" thickBot="1" x14ac:dyDescent="0.4">
      <c r="B13" s="43" t="s">
        <v>9</v>
      </c>
      <c r="C13" s="23" t="s">
        <v>88</v>
      </c>
      <c r="D13" s="23" t="s">
        <v>89</v>
      </c>
      <c r="G13" s="2"/>
      <c r="H13" s="2"/>
      <c r="I13" s="8" t="s">
        <v>103</v>
      </c>
      <c r="J13" s="2"/>
      <c r="L13" s="2"/>
      <c r="M13" s="2"/>
      <c r="N13" s="8" t="s">
        <v>1</v>
      </c>
      <c r="O13" s="2"/>
    </row>
    <row r="14" spans="2:15" s="24" customFormat="1" ht="18.5" customHeight="1" thickBot="1" x14ac:dyDescent="0.4">
      <c r="B14" s="43" t="s">
        <v>10</v>
      </c>
      <c r="C14" s="23" t="s">
        <v>87</v>
      </c>
      <c r="D14" s="23" t="s">
        <v>90</v>
      </c>
      <c r="G14"/>
      <c r="H14"/>
      <c r="I14" s="7"/>
      <c r="J14" s="29" t="s">
        <v>104</v>
      </c>
      <c r="L14"/>
      <c r="M14"/>
      <c r="N14" s="7"/>
      <c r="O14" s="29" t="s">
        <v>11</v>
      </c>
    </row>
    <row r="15" spans="2:15" ht="15" thickBot="1" x14ac:dyDescent="0.4">
      <c r="I15" s="44"/>
      <c r="J15" s="40"/>
      <c r="N15" s="7"/>
      <c r="O15" s="29" t="s">
        <v>12</v>
      </c>
    </row>
    <row r="16" spans="2:15" x14ac:dyDescent="0.35">
      <c r="G16" s="51" t="s">
        <v>114</v>
      </c>
      <c r="H16" s="51"/>
      <c r="I16" s="51"/>
      <c r="J16" s="51"/>
      <c r="K16" s="51"/>
      <c r="L16" s="51"/>
      <c r="M16" s="51"/>
    </row>
    <row r="17" spans="2:15" ht="35" customHeight="1" x14ac:dyDescent="0.35">
      <c r="G17" s="50" t="s">
        <v>115</v>
      </c>
      <c r="H17" s="50"/>
      <c r="I17" s="50"/>
      <c r="J17" s="50"/>
      <c r="K17" s="50"/>
      <c r="L17" s="50"/>
      <c r="M17" s="50"/>
      <c r="N17" s="50"/>
      <c r="O17" s="50"/>
    </row>
    <row r="18" spans="2:15" ht="37.5" customHeight="1" x14ac:dyDescent="0.35">
      <c r="G18" s="50" t="s">
        <v>106</v>
      </c>
      <c r="H18" s="50"/>
      <c r="I18" s="50"/>
      <c r="J18" s="50"/>
      <c r="K18" s="50"/>
      <c r="L18" s="50"/>
      <c r="M18" s="50"/>
      <c r="N18" s="50"/>
      <c r="O18" s="50"/>
    </row>
    <row r="19" spans="2:15" ht="79" customHeight="1" x14ac:dyDescent="0.35">
      <c r="B19" s="49" t="s">
        <v>113</v>
      </c>
      <c r="C19" s="49"/>
      <c r="D19" s="49"/>
      <c r="E19" s="49"/>
      <c r="F19" s="49"/>
      <c r="G19" s="49"/>
    </row>
  </sheetData>
  <mergeCells count="6">
    <mergeCell ref="B2:K2"/>
    <mergeCell ref="G3:O4"/>
    <mergeCell ref="B19:G19"/>
    <mergeCell ref="G17:O17"/>
    <mergeCell ref="G18:O18"/>
    <mergeCell ref="G16:M16"/>
  </mergeCells>
  <hyperlinks>
    <hyperlink ref="C9" r:id="rId1" xr:uid="{D4DFAE7A-987B-45BF-B271-898ECFB22409}"/>
  </hyperlinks>
  <pageMargins left="0.7" right="0.7" top="0.75" bottom="0.75" header="0.3" footer="0.3"/>
  <pageSetup paperSize="9" orientation="portrait" copies="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3C5A-E361-4317-8A97-186D9FFCA3F0}">
  <dimension ref="A2:M67"/>
  <sheetViews>
    <sheetView zoomScale="90" zoomScaleNormal="90" workbookViewId="0"/>
  </sheetViews>
  <sheetFormatPr baseColWidth="10" defaultRowHeight="14.5" x14ac:dyDescent="0.35"/>
  <cols>
    <col min="1" max="1" width="22.08984375" customWidth="1"/>
    <col min="2" max="2" width="25.81640625" customWidth="1"/>
    <col min="3" max="3" width="30.36328125" customWidth="1"/>
    <col min="4" max="4" width="30.1796875" customWidth="1"/>
    <col min="5" max="5" width="9" customWidth="1"/>
    <col min="6" max="6" width="10.90625" customWidth="1"/>
    <col min="7" max="7" width="69.90625" style="6" customWidth="1"/>
    <col min="8" max="13" width="19.36328125" customWidth="1"/>
  </cols>
  <sheetData>
    <row r="2" spans="1:13" s="7" customFormat="1" x14ac:dyDescent="0.35">
      <c r="G2" s="41"/>
      <c r="H2" s="47" t="s">
        <v>93</v>
      </c>
      <c r="I2" s="47"/>
      <c r="J2" s="47" t="s">
        <v>53</v>
      </c>
      <c r="K2" s="47"/>
      <c r="L2" s="47" t="s">
        <v>54</v>
      </c>
      <c r="M2" s="47"/>
    </row>
    <row r="3" spans="1:13" s="7" customFormat="1" ht="29" x14ac:dyDescent="0.35">
      <c r="D3" s="7" t="s">
        <v>108</v>
      </c>
      <c r="E3" s="7" t="s">
        <v>7</v>
      </c>
      <c r="F3" s="7" t="s">
        <v>15</v>
      </c>
      <c r="G3" s="7" t="s">
        <v>94</v>
      </c>
      <c r="H3" s="10" t="s">
        <v>37</v>
      </c>
      <c r="I3" s="10" t="s">
        <v>38</v>
      </c>
      <c r="J3" s="10" t="s">
        <v>37</v>
      </c>
      <c r="K3" s="10" t="s">
        <v>38</v>
      </c>
      <c r="L3" s="10" t="s">
        <v>37</v>
      </c>
      <c r="M3" s="10" t="s">
        <v>38</v>
      </c>
    </row>
    <row r="4" spans="1:13" s="1" customFormat="1" x14ac:dyDescent="0.35">
      <c r="A4" s="11" t="s">
        <v>35</v>
      </c>
      <c r="E4" s="1">
        <v>1</v>
      </c>
      <c r="F4" s="1" t="s">
        <v>36</v>
      </c>
      <c r="G4" s="14"/>
      <c r="I4" s="1">
        <f t="shared" ref="I4" si="0">SUM(I5,I21,I28,I31,I34,I37)</f>
        <v>9.841113679280665E-2</v>
      </c>
      <c r="K4" s="1">
        <f>SUM(K5,K21,K28,K31,K34,K37)</f>
        <v>1.2553504932743518E-7</v>
      </c>
      <c r="M4" s="1">
        <f t="shared" ref="M4" si="1">SUM(M5,M21,M28,M31,M34,M37)</f>
        <v>2.6790481708910737E-2</v>
      </c>
    </row>
    <row r="5" spans="1:13" s="4" customFormat="1" x14ac:dyDescent="0.35">
      <c r="B5" s="9" t="s">
        <v>0</v>
      </c>
      <c r="G5" s="13"/>
      <c r="I5" s="4">
        <f>SUM(I6,I9,I12,I14,I16,I19)</f>
        <v>9.5579207200000002E-2</v>
      </c>
      <c r="K5" s="4">
        <f t="shared" ref="K5:M5" si="2">SUM(K6,K9,K12,K14,K16,K19)</f>
        <v>1.215111174155639E-7</v>
      </c>
      <c r="M5" s="4">
        <f t="shared" si="2"/>
        <v>2.6621465442863999E-2</v>
      </c>
    </row>
    <row r="6" spans="1:13" s="2" customFormat="1" ht="15" thickBot="1" x14ac:dyDescent="0.4">
      <c r="C6" s="8" t="s">
        <v>1</v>
      </c>
      <c r="G6" s="12"/>
      <c r="I6" s="2">
        <f>SUM(I7:I8)</f>
        <v>5.7355269333333337E-3</v>
      </c>
      <c r="K6" s="2">
        <f t="shared" ref="K6:M6" si="3">SUM(K7:K8)</f>
        <v>7.3921725053000006E-9</v>
      </c>
      <c r="M6" s="2">
        <f t="shared" si="3"/>
        <v>1.779340184898E-3</v>
      </c>
    </row>
    <row r="7" spans="1:13" ht="15" thickBot="1" x14ac:dyDescent="0.4">
      <c r="C7" s="7"/>
      <c r="D7" s="29" t="s">
        <v>11</v>
      </c>
      <c r="E7" s="29">
        <f>2/1000</f>
        <v>2E-3</v>
      </c>
      <c r="F7" s="32" t="s">
        <v>33</v>
      </c>
      <c r="G7" s="33" t="s">
        <v>67</v>
      </c>
      <c r="H7" s="34">
        <v>1.8000000000000003</v>
      </c>
      <c r="I7">
        <f>H7*$E7</f>
        <v>3.6000000000000008E-3</v>
      </c>
      <c r="J7" s="34">
        <v>2.5508505742199999E-6</v>
      </c>
      <c r="K7">
        <f t="shared" ref="K7:M7" si="4">J7*$E7</f>
        <v>5.1017011484400001E-9</v>
      </c>
      <c r="L7" s="34">
        <v>0.83743000000000001</v>
      </c>
      <c r="M7">
        <f t="shared" si="4"/>
        <v>1.67486E-3</v>
      </c>
    </row>
    <row r="8" spans="1:13" ht="15" thickBot="1" x14ac:dyDescent="0.4">
      <c r="C8" s="7"/>
      <c r="D8" s="29" t="s">
        <v>12</v>
      </c>
      <c r="E8" s="29">
        <f>2/1000</f>
        <v>2E-3</v>
      </c>
      <c r="F8" s="32" t="s">
        <v>33</v>
      </c>
      <c r="G8" s="33" t="s">
        <v>64</v>
      </c>
      <c r="H8" s="34">
        <v>1.0677634666666667</v>
      </c>
      <c r="I8">
        <f>H8*$E8</f>
        <v>2.1355269333333334E-3</v>
      </c>
      <c r="J8" s="34">
        <v>1.1452356784300002E-6</v>
      </c>
      <c r="K8">
        <f>J8*$E8</f>
        <v>2.2904713568600006E-9</v>
      </c>
      <c r="L8" s="34">
        <v>5.2240092448999999E-2</v>
      </c>
      <c r="M8">
        <f t="shared" ref="M8" si="5">L8*$E8</f>
        <v>1.04480184898E-4</v>
      </c>
    </row>
    <row r="9" spans="1:13" s="2" customFormat="1" ht="15" thickBot="1" x14ac:dyDescent="0.4">
      <c r="C9" s="8" t="s">
        <v>2</v>
      </c>
      <c r="G9" s="12"/>
      <c r="I9" s="2">
        <f>SUM(I10:I11)</f>
        <v>5.7355269333333337E-3</v>
      </c>
      <c r="K9" s="2">
        <f t="shared" ref="K9:M9" si="6">SUM(K10:K11)</f>
        <v>7.3921725053000006E-9</v>
      </c>
      <c r="M9" s="2">
        <f t="shared" si="6"/>
        <v>1.779340184898E-3</v>
      </c>
    </row>
    <row r="10" spans="1:13" ht="15" thickBot="1" x14ac:dyDescent="0.4">
      <c r="C10" s="7"/>
      <c r="D10" s="29" t="s">
        <v>11</v>
      </c>
      <c r="E10" s="29">
        <f>2/1000</f>
        <v>2E-3</v>
      </c>
      <c r="F10" s="32" t="s">
        <v>33</v>
      </c>
      <c r="G10" s="33" t="s">
        <v>67</v>
      </c>
      <c r="H10" s="34">
        <v>1.8000000000000003</v>
      </c>
      <c r="I10">
        <f>H10*$E10</f>
        <v>3.6000000000000008E-3</v>
      </c>
      <c r="J10" s="34">
        <v>2.5508505742199999E-6</v>
      </c>
      <c r="K10">
        <f t="shared" ref="K10:M10" si="7">J10*$E10</f>
        <v>5.1017011484400001E-9</v>
      </c>
      <c r="L10" s="34">
        <v>0.83743000000000001</v>
      </c>
      <c r="M10">
        <f t="shared" si="7"/>
        <v>1.67486E-3</v>
      </c>
    </row>
    <row r="11" spans="1:13" ht="15" thickBot="1" x14ac:dyDescent="0.4">
      <c r="C11" s="7"/>
      <c r="D11" s="29" t="s">
        <v>12</v>
      </c>
      <c r="E11" s="29">
        <f>2/1000</f>
        <v>2E-3</v>
      </c>
      <c r="F11" s="32" t="s">
        <v>33</v>
      </c>
      <c r="G11" s="33" t="s">
        <v>64</v>
      </c>
      <c r="H11" s="34">
        <v>1.0677634666666667</v>
      </c>
      <c r="I11">
        <f>H11*$E11</f>
        <v>2.1355269333333334E-3</v>
      </c>
      <c r="J11" s="34">
        <v>1.1452356784300002E-6</v>
      </c>
      <c r="K11">
        <f>J11*$E11</f>
        <v>2.2904713568600006E-9</v>
      </c>
      <c r="L11" s="34">
        <v>5.2240092448999999E-2</v>
      </c>
      <c r="M11">
        <f t="shared" ref="M11" si="8">L11*$E11</f>
        <v>1.04480184898E-4</v>
      </c>
    </row>
    <row r="12" spans="1:13" s="2" customFormat="1" ht="15" thickBot="1" x14ac:dyDescent="0.4">
      <c r="C12" s="8" t="s">
        <v>3</v>
      </c>
      <c r="G12" s="12"/>
      <c r="I12" s="2">
        <f>SUM(I13)</f>
        <v>6.4000000000000003E-3</v>
      </c>
      <c r="K12" s="2">
        <f t="shared" ref="K12:M12" si="9">SUM(K13)</f>
        <v>9.2260954103999996E-9</v>
      </c>
      <c r="M12" s="2">
        <f t="shared" si="9"/>
        <v>1.4583999999999999E-3</v>
      </c>
    </row>
    <row r="13" spans="1:13" ht="15" thickBot="1" x14ac:dyDescent="0.4">
      <c r="C13" s="7"/>
      <c r="D13" s="29" t="s">
        <v>13</v>
      </c>
      <c r="E13" s="29">
        <f>1/1000</f>
        <v>1E-3</v>
      </c>
      <c r="F13" s="32" t="s">
        <v>33</v>
      </c>
      <c r="G13" s="33" t="s">
        <v>66</v>
      </c>
      <c r="H13" s="34">
        <v>6.4</v>
      </c>
      <c r="I13">
        <f>H13*$E13</f>
        <v>6.4000000000000003E-3</v>
      </c>
      <c r="J13" s="34">
        <v>9.2260954104E-6</v>
      </c>
      <c r="K13">
        <f t="shared" ref="K13:M13" si="10">J13*$E13</f>
        <v>9.2260954103999996E-9</v>
      </c>
      <c r="L13" s="34">
        <v>1.4583999999999999</v>
      </c>
      <c r="M13">
        <f t="shared" si="10"/>
        <v>1.4583999999999999E-3</v>
      </c>
    </row>
    <row r="14" spans="1:13" s="2" customFormat="1" ht="15" thickBot="1" x14ac:dyDescent="0.4">
      <c r="C14" s="8" t="s">
        <v>4</v>
      </c>
      <c r="G14" s="12"/>
      <c r="I14" s="2">
        <f>SUM(I15)</f>
        <v>1.8463603333333335E-2</v>
      </c>
      <c r="K14" s="2">
        <f t="shared" ref="K14:M14" si="11">SUM(K15)</f>
        <v>2.1226551076579899E-8</v>
      </c>
      <c r="M14" s="2">
        <f t="shared" si="11"/>
        <v>5.0472077028800005E-3</v>
      </c>
    </row>
    <row r="15" spans="1:13" s="3" customFormat="1" ht="15" thickBot="1" x14ac:dyDescent="0.4">
      <c r="C15" s="15"/>
      <c r="D15" s="30" t="s">
        <v>14</v>
      </c>
      <c r="E15" s="30">
        <f>10/1000</f>
        <v>0.01</v>
      </c>
      <c r="F15" s="35" t="s">
        <v>33</v>
      </c>
      <c r="G15" s="36" t="s">
        <v>68</v>
      </c>
      <c r="H15" s="37">
        <v>1.8463603333333334</v>
      </c>
      <c r="I15" s="3">
        <f>H15*$E15</f>
        <v>1.8463603333333335E-2</v>
      </c>
      <c r="J15" s="37">
        <v>2.1226551076579899E-6</v>
      </c>
      <c r="K15" s="3">
        <f t="shared" ref="K15:M15" si="12">J15*$E15</f>
        <v>2.1226551076579899E-8</v>
      </c>
      <c r="L15" s="37">
        <v>0.504720770288</v>
      </c>
      <c r="M15" s="3">
        <f t="shared" si="12"/>
        <v>5.0472077028800005E-3</v>
      </c>
    </row>
    <row r="16" spans="1:13" s="2" customFormat="1" ht="15" thickBot="1" x14ac:dyDescent="0.4">
      <c r="C16" s="8" t="s">
        <v>5</v>
      </c>
      <c r="G16" s="12"/>
      <c r="I16" s="2">
        <f>SUM(I17:I18)</f>
        <v>4.3016452000000004E-2</v>
      </c>
      <c r="K16" s="2">
        <f t="shared" ref="K16:M16" si="13">SUM(K17:K18)</f>
        <v>5.5441293789749992E-8</v>
      </c>
      <c r="M16" s="2">
        <f t="shared" si="13"/>
        <v>1.3345051386735E-2</v>
      </c>
    </row>
    <row r="17" spans="2:13" ht="15" thickBot="1" x14ac:dyDescent="0.4">
      <c r="C17" s="7"/>
      <c r="D17" s="31" t="s">
        <v>11</v>
      </c>
      <c r="E17" s="31">
        <f>15/1000</f>
        <v>1.4999999999999999E-2</v>
      </c>
      <c r="F17" s="32" t="s">
        <v>33</v>
      </c>
      <c r="G17" s="33" t="s">
        <v>67</v>
      </c>
      <c r="H17" s="34">
        <v>1.8000000000000003</v>
      </c>
      <c r="I17">
        <f>H17*$E17</f>
        <v>2.7000000000000003E-2</v>
      </c>
      <c r="J17" s="34">
        <v>2.5508505742199999E-6</v>
      </c>
      <c r="K17">
        <f t="shared" ref="K17:M17" si="14">J17*$E17</f>
        <v>3.8262758613299995E-8</v>
      </c>
      <c r="L17" s="34">
        <v>0.83743000000000001</v>
      </c>
      <c r="M17">
        <f t="shared" si="14"/>
        <v>1.256145E-2</v>
      </c>
    </row>
    <row r="18" spans="2:13" ht="15" thickBot="1" x14ac:dyDescent="0.4">
      <c r="C18" s="7"/>
      <c r="D18" s="31" t="s">
        <v>12</v>
      </c>
      <c r="E18" s="31">
        <f>15/1000</f>
        <v>1.4999999999999999E-2</v>
      </c>
      <c r="F18" s="32" t="s">
        <v>33</v>
      </c>
      <c r="G18" s="33" t="s">
        <v>64</v>
      </c>
      <c r="H18" s="34">
        <v>1.0677634666666667</v>
      </c>
      <c r="I18">
        <f>H18*$E18</f>
        <v>1.6016452E-2</v>
      </c>
      <c r="J18" s="34">
        <v>1.1452356784300002E-6</v>
      </c>
      <c r="K18">
        <f>J18*$E18</f>
        <v>1.7178535176450001E-8</v>
      </c>
      <c r="L18" s="34">
        <v>5.2240092448999999E-2</v>
      </c>
      <c r="M18">
        <f t="shared" ref="M18" si="15">L18*$E18</f>
        <v>7.8360138673499991E-4</v>
      </c>
    </row>
    <row r="19" spans="2:13" s="2" customFormat="1" ht="15" thickBot="1" x14ac:dyDescent="0.4">
      <c r="C19" s="8" t="s">
        <v>6</v>
      </c>
      <c r="G19" s="12"/>
      <c r="I19" s="2">
        <f>SUM(I20)</f>
        <v>1.6228098E-2</v>
      </c>
      <c r="K19" s="2">
        <f t="shared" ref="K19:M19" si="16">SUM(K20)</f>
        <v>2.0832832128234E-8</v>
      </c>
      <c r="M19" s="2">
        <f t="shared" si="16"/>
        <v>3.2121259834529997E-3</v>
      </c>
    </row>
    <row r="20" spans="2:13" ht="15" thickBot="1" x14ac:dyDescent="0.4">
      <c r="D20" s="29" t="s">
        <v>18</v>
      </c>
      <c r="E20" s="29">
        <f>15/1000</f>
        <v>1.4999999999999999E-2</v>
      </c>
      <c r="F20" s="32" t="s">
        <v>33</v>
      </c>
      <c r="G20" s="33" t="s">
        <v>70</v>
      </c>
      <c r="H20" s="34">
        <v>1.0818732</v>
      </c>
      <c r="I20">
        <f>H20*$E20</f>
        <v>1.6228098E-2</v>
      </c>
      <c r="J20" s="34">
        <v>1.3888554752156001E-6</v>
      </c>
      <c r="K20">
        <f t="shared" ref="K20:M20" si="17">J20*$E20</f>
        <v>2.0832832128234E-8</v>
      </c>
      <c r="L20" s="34">
        <v>0.2141417322302</v>
      </c>
      <c r="M20">
        <f t="shared" si="17"/>
        <v>3.2121259834529997E-3</v>
      </c>
    </row>
    <row r="21" spans="2:13" s="4" customFormat="1" x14ac:dyDescent="0.35">
      <c r="B21" s="9" t="s">
        <v>20</v>
      </c>
      <c r="G21" s="13"/>
      <c r="I21" s="4">
        <f>SUM(I23:I27)</f>
        <v>1.7047772693999999E-4</v>
      </c>
      <c r="K21" s="4">
        <f t="shared" ref="K21:M21" si="18">SUM(K23:K27)</f>
        <v>2.5534107313230564E-10</v>
      </c>
      <c r="M21" s="4">
        <f t="shared" si="18"/>
        <v>2.58469413037395E-5</v>
      </c>
    </row>
    <row r="22" spans="2:13" s="2" customFormat="1" ht="15" thickBot="1" x14ac:dyDescent="0.4">
      <c r="C22" s="8" t="s">
        <v>24</v>
      </c>
      <c r="G22" s="12"/>
    </row>
    <row r="23" spans="2:13" s="3" customFormat="1" ht="15" thickBot="1" x14ac:dyDescent="0.4">
      <c r="C23" s="15"/>
      <c r="D23" s="30" t="s">
        <v>22</v>
      </c>
      <c r="E23" s="30">
        <f>E17*330/1000</f>
        <v>4.9500000000000004E-3</v>
      </c>
      <c r="F23" s="35" t="s">
        <v>34</v>
      </c>
      <c r="G23" s="36" t="s">
        <v>55</v>
      </c>
      <c r="H23" s="37">
        <v>1.9165274666666666E-2</v>
      </c>
      <c r="I23" s="3">
        <f>H23*$E23</f>
        <v>9.4868109600000002E-5</v>
      </c>
      <c r="J23" s="37">
        <v>3.0730452084717002E-8</v>
      </c>
      <c r="K23" s="3">
        <f t="shared" ref="K23:M27" si="19">J23*$E23</f>
        <v>1.5211573781934918E-10</v>
      </c>
      <c r="L23" s="37">
        <v>3.3946892844999997E-3</v>
      </c>
      <c r="M23" s="3">
        <f t="shared" si="19"/>
        <v>1.6803711958275E-5</v>
      </c>
    </row>
    <row r="24" spans="2:13" s="2" customFormat="1" ht="15" thickBot="1" x14ac:dyDescent="0.4">
      <c r="C24" s="8" t="s">
        <v>25</v>
      </c>
      <c r="G24" s="12"/>
    </row>
    <row r="25" spans="2:13" s="3" customFormat="1" ht="15" thickBot="1" x14ac:dyDescent="0.4">
      <c r="C25" s="15"/>
      <c r="D25" s="30" t="s">
        <v>23</v>
      </c>
      <c r="E25" s="30">
        <f>E17*251/1000</f>
        <v>3.7649999999999997E-3</v>
      </c>
      <c r="F25" s="35" t="s">
        <v>34</v>
      </c>
      <c r="G25" s="36" t="s">
        <v>56</v>
      </c>
      <c r="H25" s="37">
        <v>9.0106626666666672E-3</v>
      </c>
      <c r="I25" s="3">
        <f>H25*$E25</f>
        <v>3.3925144940000002E-5</v>
      </c>
      <c r="J25" s="37">
        <v>9.6644361298000002E-9</v>
      </c>
      <c r="K25" s="3">
        <f t="shared" si="19"/>
        <v>3.6386602028696995E-11</v>
      </c>
      <c r="L25" s="37">
        <v>4.4084466179999997E-4</v>
      </c>
      <c r="M25" s="3">
        <f t="shared" si="19"/>
        <v>1.6597801516769998E-6</v>
      </c>
    </row>
    <row r="26" spans="2:13" s="2" customFormat="1" ht="15" thickBot="1" x14ac:dyDescent="0.4">
      <c r="C26" s="8" t="s">
        <v>26</v>
      </c>
      <c r="G26" s="12"/>
    </row>
    <row r="27" spans="2:13" s="3" customFormat="1" ht="15" thickBot="1" x14ac:dyDescent="0.4">
      <c r="D27" s="30" t="s">
        <v>22</v>
      </c>
      <c r="E27" s="30">
        <f>E17*145/1000</f>
        <v>2.1749999999999999E-3</v>
      </c>
      <c r="F27" s="35" t="s">
        <v>34</v>
      </c>
      <c r="G27" s="36" t="s">
        <v>55</v>
      </c>
      <c r="H27" s="37">
        <v>1.9165274666666666E-2</v>
      </c>
      <c r="I27" s="3">
        <f>H27*$E27</f>
        <v>4.1684472399999993E-5</v>
      </c>
      <c r="J27" s="37">
        <v>3.0730452084717002E-8</v>
      </c>
      <c r="K27" s="3">
        <f t="shared" si="19"/>
        <v>6.6838733284259478E-11</v>
      </c>
      <c r="L27" s="37">
        <v>3.3946892844999997E-3</v>
      </c>
      <c r="M27" s="3">
        <f t="shared" si="19"/>
        <v>7.3834491937874988E-6</v>
      </c>
    </row>
    <row r="28" spans="2:13" s="4" customFormat="1" x14ac:dyDescent="0.35">
      <c r="B28" s="9" t="s">
        <v>72</v>
      </c>
      <c r="C28" s="9"/>
      <c r="G28" s="13"/>
      <c r="I28" s="4">
        <f>I29</f>
        <v>5.4756795E-4</v>
      </c>
      <c r="K28" s="4">
        <f t="shared" ref="K28:M29" si="20">K29</f>
        <v>1.0033521664724999E-9</v>
      </c>
      <c r="M28" s="4">
        <f t="shared" si="20"/>
        <v>6.3113893019999993E-5</v>
      </c>
    </row>
    <row r="29" spans="2:13" s="2" customFormat="1" ht="15" thickBot="1" x14ac:dyDescent="0.4">
      <c r="B29" s="8"/>
      <c r="C29" s="8" t="s">
        <v>58</v>
      </c>
      <c r="G29" s="12"/>
      <c r="I29" s="2">
        <f>I30</f>
        <v>5.4756795E-4</v>
      </c>
      <c r="K29" s="2">
        <f t="shared" si="20"/>
        <v>1.0033521664724999E-9</v>
      </c>
      <c r="M29" s="2">
        <f t="shared" si="20"/>
        <v>6.3113893019999993E-5</v>
      </c>
    </row>
    <row r="30" spans="2:13" ht="15" thickBot="1" x14ac:dyDescent="0.4">
      <c r="B30" s="7"/>
      <c r="C30" s="7"/>
      <c r="D30" s="29" t="s">
        <v>59</v>
      </c>
      <c r="E30" s="30">
        <f>1*(E7+E10+E13+E15+E17+E20)</f>
        <v>4.4999999999999998E-2</v>
      </c>
      <c r="F30" s="32" t="s">
        <v>19</v>
      </c>
      <c r="G30" s="33" t="s">
        <v>57</v>
      </c>
      <c r="H30" s="34">
        <v>1.2168176666666667E-2</v>
      </c>
      <c r="I30">
        <f>H30*$E30</f>
        <v>5.4756795E-4</v>
      </c>
      <c r="J30" s="34">
        <v>2.2296714810499999E-8</v>
      </c>
      <c r="K30">
        <f t="shared" ref="K30:M30" si="21">J30*$E30</f>
        <v>1.0033521664724999E-9</v>
      </c>
      <c r="L30" s="34">
        <v>1.402530956E-3</v>
      </c>
      <c r="M30">
        <f t="shared" si="21"/>
        <v>6.3113893019999993E-5</v>
      </c>
    </row>
    <row r="31" spans="2:13" s="4" customFormat="1" x14ac:dyDescent="0.35">
      <c r="B31" s="9" t="s">
        <v>21</v>
      </c>
      <c r="C31" s="9"/>
      <c r="G31" s="13"/>
      <c r="I31" s="4">
        <f>I32</f>
        <v>5.2572221333333337E-4</v>
      </c>
      <c r="K31" s="4">
        <f t="shared" ref="K31:M32" si="22">K32</f>
        <v>5.6845122550540003E-10</v>
      </c>
      <c r="M31" s="4">
        <f t="shared" si="22"/>
        <v>7.8986825841800007E-5</v>
      </c>
    </row>
    <row r="32" spans="2:13" s="2" customFormat="1" ht="15" thickBot="1" x14ac:dyDescent="0.4">
      <c r="B32" s="8"/>
      <c r="C32" s="8" t="s">
        <v>62</v>
      </c>
      <c r="G32" s="12"/>
      <c r="I32" s="2">
        <f>I33</f>
        <v>5.2572221333333337E-4</v>
      </c>
      <c r="K32" s="2">
        <f t="shared" si="22"/>
        <v>5.6845122550540003E-10</v>
      </c>
      <c r="M32" s="2">
        <f t="shared" si="22"/>
        <v>7.8986825841800007E-5</v>
      </c>
    </row>
    <row r="33" spans="2:13" ht="15" thickBot="1" x14ac:dyDescent="0.4">
      <c r="B33" s="7"/>
      <c r="C33" s="7"/>
      <c r="D33" s="29" t="s">
        <v>27</v>
      </c>
      <c r="E33" s="30">
        <f>20/10000</f>
        <v>2E-3</v>
      </c>
      <c r="F33" s="32" t="s">
        <v>61</v>
      </c>
      <c r="G33" s="33" t="s">
        <v>60</v>
      </c>
      <c r="H33" s="34">
        <v>0.26286110666666668</v>
      </c>
      <c r="I33">
        <f>H33*$E33</f>
        <v>5.2572221333333337E-4</v>
      </c>
      <c r="J33" s="34">
        <v>2.8422561275270002E-7</v>
      </c>
      <c r="K33">
        <f t="shared" ref="K33:M33" si="23">J33*$E33</f>
        <v>5.6845122550540003E-10</v>
      </c>
      <c r="L33" s="34">
        <v>3.9493412920900001E-2</v>
      </c>
      <c r="M33">
        <f t="shared" si="23"/>
        <v>7.8986825841800007E-5</v>
      </c>
    </row>
    <row r="34" spans="2:13" s="4" customFormat="1" x14ac:dyDescent="0.35">
      <c r="B34" s="9" t="s">
        <v>28</v>
      </c>
      <c r="C34" s="9"/>
      <c r="G34" s="13"/>
      <c r="I34" s="4">
        <f>I35</f>
        <v>0</v>
      </c>
      <c r="K34" s="4">
        <f t="shared" ref="K34:M35" si="24">K35</f>
        <v>2.1809999999999998E-9</v>
      </c>
      <c r="M34" s="4">
        <f t="shared" si="24"/>
        <v>0</v>
      </c>
    </row>
    <row r="35" spans="2:13" s="2" customFormat="1" ht="15" thickBot="1" x14ac:dyDescent="0.4">
      <c r="B35" s="8"/>
      <c r="C35" s="8" t="s">
        <v>30</v>
      </c>
      <c r="G35" s="12"/>
      <c r="I35" s="2">
        <f>I36</f>
        <v>0</v>
      </c>
      <c r="K35" s="2">
        <f t="shared" si="24"/>
        <v>2.1809999999999998E-9</v>
      </c>
      <c r="M35" s="2">
        <f t="shared" si="24"/>
        <v>0</v>
      </c>
    </row>
    <row r="36" spans="2:13" ht="15" thickBot="1" x14ac:dyDescent="0.4">
      <c r="B36" s="7"/>
      <c r="C36" s="7"/>
      <c r="D36" s="29" t="s">
        <v>29</v>
      </c>
      <c r="E36" s="30">
        <f>E20</f>
        <v>1.4999999999999999E-2</v>
      </c>
      <c r="F36" s="35" t="s">
        <v>33</v>
      </c>
      <c r="G36" s="33" t="s">
        <v>71</v>
      </c>
      <c r="H36" s="34">
        <v>0</v>
      </c>
      <c r="I36">
        <f>H36*$E36</f>
        <v>0</v>
      </c>
      <c r="J36" s="34">
        <v>1.4539999999999999E-7</v>
      </c>
      <c r="K36">
        <f t="shared" ref="K36:M36" si="25">J36*$E36</f>
        <v>2.1809999999999998E-9</v>
      </c>
      <c r="L36" s="34">
        <v>0</v>
      </c>
      <c r="M36">
        <f t="shared" si="25"/>
        <v>0</v>
      </c>
    </row>
    <row r="37" spans="2:13" s="4" customFormat="1" x14ac:dyDescent="0.35">
      <c r="B37" s="9" t="s">
        <v>31</v>
      </c>
      <c r="C37" s="9"/>
      <c r="G37" s="13"/>
      <c r="I37" s="4">
        <f>SUM(I38,I40)</f>
        <v>1.5881617025333336E-3</v>
      </c>
      <c r="K37" s="4">
        <f t="shared" ref="K37:M37" si="26">K38</f>
        <v>1.5787446761045099E-11</v>
      </c>
      <c r="M37" s="4">
        <f t="shared" si="26"/>
        <v>1.0686058812E-6</v>
      </c>
    </row>
    <row r="38" spans="2:13" s="2" customFormat="1" ht="15" thickBot="1" x14ac:dyDescent="0.4">
      <c r="B38" s="8"/>
      <c r="C38" s="8" t="s">
        <v>39</v>
      </c>
      <c r="G38" s="12"/>
      <c r="I38" s="2">
        <f>SUM(I39:I39)</f>
        <v>9.1142492000000005E-6</v>
      </c>
      <c r="K38" s="2">
        <f>SUM(K39:K39)</f>
        <v>1.5787446761045099E-11</v>
      </c>
      <c r="M38" s="2">
        <f>SUM(M39:M39)</f>
        <v>1.0686058812E-6</v>
      </c>
    </row>
    <row r="39" spans="2:13" ht="15" thickBot="1" x14ac:dyDescent="0.4">
      <c r="B39" s="7"/>
      <c r="C39" s="7"/>
      <c r="D39" s="29" t="s">
        <v>32</v>
      </c>
      <c r="E39" s="29">
        <f>(E7+E10+E13+E15+E17)*10/1000</f>
        <v>2.9999999999999997E-4</v>
      </c>
      <c r="F39" s="32" t="s">
        <v>34</v>
      </c>
      <c r="G39" s="33" t="s">
        <v>52</v>
      </c>
      <c r="H39" s="34">
        <v>3.0380830666666671E-2</v>
      </c>
      <c r="I39">
        <f>H39*$E39</f>
        <v>9.1142492000000005E-6</v>
      </c>
      <c r="J39" s="34">
        <v>5.2624822536817003E-8</v>
      </c>
      <c r="K39">
        <f t="shared" ref="K39:M39" si="27">J39*$E39</f>
        <v>1.5787446761045099E-11</v>
      </c>
      <c r="L39" s="34">
        <v>3.5620196040000002E-3</v>
      </c>
      <c r="M39">
        <f t="shared" si="27"/>
        <v>1.0686058812E-6</v>
      </c>
    </row>
    <row r="40" spans="2:13" s="2" customFormat="1" ht="15" thickBot="1" x14ac:dyDescent="0.4">
      <c r="B40" s="8"/>
      <c r="C40" s="8" t="s">
        <v>50</v>
      </c>
      <c r="G40" s="12"/>
      <c r="I40" s="2">
        <f>SUM(I41:I43)</f>
        <v>1.5790474533333336E-3</v>
      </c>
      <c r="K40" s="2">
        <f>SUM(K41:K43)</f>
        <v>1.5134593672485003E-9</v>
      </c>
      <c r="M40" s="2">
        <f>SUM(M41:M43)</f>
        <v>-3.2296973784400003E-4</v>
      </c>
    </row>
    <row r="41" spans="2:13" ht="15" thickBot="1" x14ac:dyDescent="0.4">
      <c r="D41" s="29" t="s">
        <v>40</v>
      </c>
      <c r="E41" s="29">
        <f>10%*(E7+E10)</f>
        <v>4.0000000000000002E-4</v>
      </c>
      <c r="F41" s="32" t="s">
        <v>33</v>
      </c>
      <c r="G41" s="33" t="s">
        <v>45</v>
      </c>
      <c r="H41" s="34">
        <v>1.1414626000000001</v>
      </c>
      <c r="I41">
        <f t="shared" ref="I41:I43" si="28">H41*$E41</f>
        <v>4.5658504000000008E-4</v>
      </c>
      <c r="J41" s="34">
        <v>1.102414804793E-6</v>
      </c>
      <c r="K41">
        <f t="shared" ref="K41:K43" si="29">J41*$E41</f>
        <v>4.4096592191720004E-10</v>
      </c>
      <c r="L41" s="34">
        <v>-0.29154514250700003</v>
      </c>
      <c r="M41">
        <f t="shared" ref="M41:M43" si="30">L41*$E41</f>
        <v>-1.1661805700280002E-4</v>
      </c>
    </row>
    <row r="42" spans="2:13" ht="15" thickBot="1" x14ac:dyDescent="0.4">
      <c r="D42" s="29" t="s">
        <v>41</v>
      </c>
      <c r="E42" s="29">
        <f>10%*(E13)</f>
        <v>1E-4</v>
      </c>
      <c r="F42" s="32" t="s">
        <v>33</v>
      </c>
      <c r="G42" s="33" t="s">
        <v>46</v>
      </c>
      <c r="H42" s="34">
        <v>1.1810941333333334</v>
      </c>
      <c r="I42">
        <f t="shared" si="28"/>
        <v>1.1810941333333334E-4</v>
      </c>
      <c r="J42" s="34">
        <v>1.1238763089730001E-6</v>
      </c>
      <c r="K42">
        <f t="shared" si="29"/>
        <v>1.1238763089730002E-10</v>
      </c>
      <c r="L42" s="34">
        <v>-0.18802462848199999</v>
      </c>
      <c r="M42">
        <f t="shared" si="30"/>
        <v>-1.88024628482E-5</v>
      </c>
    </row>
    <row r="43" spans="2:13" ht="15" thickBot="1" x14ac:dyDescent="0.4">
      <c r="D43" s="29" t="s">
        <v>42</v>
      </c>
      <c r="E43" s="29">
        <f>10%*(E15)</f>
        <v>1E-3</v>
      </c>
      <c r="F43" s="32" t="s">
        <v>33</v>
      </c>
      <c r="G43" s="33" t="s">
        <v>47</v>
      </c>
      <c r="H43" s="34">
        <v>1.0043530000000001</v>
      </c>
      <c r="I43">
        <f t="shared" si="28"/>
        <v>1.0043530000000001E-3</v>
      </c>
      <c r="J43" s="34">
        <v>9.6010581443400025E-7</v>
      </c>
      <c r="K43">
        <f t="shared" si="29"/>
        <v>9.6010581443400019E-10</v>
      </c>
      <c r="L43" s="34">
        <v>-0.18754921799300001</v>
      </c>
      <c r="M43">
        <f t="shared" si="30"/>
        <v>-1.87549217993E-4</v>
      </c>
    </row>
    <row r="48" spans="2:13" hidden="1" x14ac:dyDescent="0.35">
      <c r="D48" t="s">
        <v>93</v>
      </c>
      <c r="E48" t="s">
        <v>53</v>
      </c>
      <c r="F48" t="s">
        <v>54</v>
      </c>
    </row>
    <row r="49" spans="3:6" hidden="1" x14ac:dyDescent="0.35">
      <c r="C49" t="s">
        <v>1</v>
      </c>
      <c r="D49">
        <f>I6</f>
        <v>5.7355269333333337E-3</v>
      </c>
      <c r="E49">
        <f>K6</f>
        <v>7.3921725053000006E-9</v>
      </c>
      <c r="F49">
        <f>M6</f>
        <v>1.779340184898E-3</v>
      </c>
    </row>
    <row r="50" spans="3:6" hidden="1" x14ac:dyDescent="0.35">
      <c r="C50" t="s">
        <v>2</v>
      </c>
      <c r="D50">
        <f>I9</f>
        <v>5.7355269333333337E-3</v>
      </c>
      <c r="E50">
        <f>K9</f>
        <v>7.3921725053000006E-9</v>
      </c>
      <c r="F50">
        <f>M9</f>
        <v>1.779340184898E-3</v>
      </c>
    </row>
    <row r="51" spans="3:6" hidden="1" x14ac:dyDescent="0.35">
      <c r="C51" t="s">
        <v>3</v>
      </c>
      <c r="D51">
        <f>I12</f>
        <v>6.4000000000000003E-3</v>
      </c>
      <c r="E51">
        <f>K12</f>
        <v>9.2260954103999996E-9</v>
      </c>
      <c r="F51">
        <f>M12</f>
        <v>1.4583999999999999E-3</v>
      </c>
    </row>
    <row r="52" spans="3:6" hidden="1" x14ac:dyDescent="0.35">
      <c r="C52" t="s">
        <v>4</v>
      </c>
      <c r="D52">
        <f>I14</f>
        <v>1.8463603333333335E-2</v>
      </c>
      <c r="E52">
        <f>K14</f>
        <v>2.1226551076579899E-8</v>
      </c>
      <c r="F52">
        <f>M14</f>
        <v>5.0472077028800005E-3</v>
      </c>
    </row>
    <row r="53" spans="3:6" hidden="1" x14ac:dyDescent="0.35">
      <c r="C53" t="s">
        <v>73</v>
      </c>
      <c r="D53">
        <f>I16+I21</f>
        <v>4.3186929726940007E-2</v>
      </c>
      <c r="E53">
        <f>K16+K21</f>
        <v>5.5696634862882298E-8</v>
      </c>
      <c r="F53">
        <f>M16+M21</f>
        <v>1.3370898328038739E-2</v>
      </c>
    </row>
    <row r="54" spans="3:6" hidden="1" x14ac:dyDescent="0.35">
      <c r="C54" t="s">
        <v>6</v>
      </c>
      <c r="D54">
        <f>I19</f>
        <v>1.6228098E-2</v>
      </c>
      <c r="E54">
        <f>K19</f>
        <v>2.0832832128234E-8</v>
      </c>
      <c r="F54">
        <f>M19</f>
        <v>3.2121259834529997E-3</v>
      </c>
    </row>
    <row r="55" spans="3:6" hidden="1" x14ac:dyDescent="0.35"/>
    <row r="56" spans="3:6" hidden="1" x14ac:dyDescent="0.35">
      <c r="D56" t="s">
        <v>93</v>
      </c>
      <c r="E56" t="s">
        <v>53</v>
      </c>
      <c r="F56" t="s">
        <v>54</v>
      </c>
    </row>
    <row r="57" spans="3:6" hidden="1" x14ac:dyDescent="0.35">
      <c r="C57" t="s">
        <v>0</v>
      </c>
      <c r="D57">
        <f>I5</f>
        <v>9.5579207200000002E-2</v>
      </c>
      <c r="E57">
        <f>K5</f>
        <v>1.215111174155639E-7</v>
      </c>
      <c r="F57">
        <f>M5</f>
        <v>2.6621465442863999E-2</v>
      </c>
    </row>
    <row r="58" spans="3:6" hidden="1" x14ac:dyDescent="0.35">
      <c r="C58" t="s">
        <v>20</v>
      </c>
      <c r="D58">
        <f>I21</f>
        <v>1.7047772693999999E-4</v>
      </c>
      <c r="E58">
        <f>K21</f>
        <v>2.5534107313230564E-10</v>
      </c>
      <c r="F58">
        <f>M21</f>
        <v>2.58469413037395E-5</v>
      </c>
    </row>
    <row r="59" spans="3:6" hidden="1" x14ac:dyDescent="0.35">
      <c r="C59" t="s">
        <v>74</v>
      </c>
      <c r="D59">
        <f>I28</f>
        <v>5.4756795E-4</v>
      </c>
      <c r="E59">
        <f>K28</f>
        <v>1.0033521664724999E-9</v>
      </c>
      <c r="F59">
        <f>M28</f>
        <v>6.3113893019999993E-5</v>
      </c>
    </row>
    <row r="60" spans="3:6" hidden="1" x14ac:dyDescent="0.35">
      <c r="C60" t="s">
        <v>78</v>
      </c>
      <c r="D60">
        <f>SUM(D57:D59)</f>
        <v>9.6297252876939993E-2</v>
      </c>
      <c r="E60">
        <f t="shared" ref="E60:F60" si="31">SUM(E57:E59)</f>
        <v>1.2276981065516871E-7</v>
      </c>
      <c r="F60">
        <f t="shared" si="31"/>
        <v>2.6710426277187737E-2</v>
      </c>
    </row>
    <row r="61" spans="3:6" hidden="1" x14ac:dyDescent="0.35"/>
    <row r="62" spans="3:6" hidden="1" x14ac:dyDescent="0.35">
      <c r="D62" t="s">
        <v>93</v>
      </c>
      <c r="E62" t="s">
        <v>53</v>
      </c>
      <c r="F62" t="s">
        <v>54</v>
      </c>
    </row>
    <row r="63" spans="3:6" hidden="1" x14ac:dyDescent="0.35">
      <c r="C63" t="s">
        <v>75</v>
      </c>
      <c r="D63">
        <f>D60</f>
        <v>9.6297252876939993E-2</v>
      </c>
      <c r="E63">
        <f>E60</f>
        <v>1.2276981065516871E-7</v>
      </c>
      <c r="F63">
        <f t="shared" ref="F63" si="32">F60</f>
        <v>2.6710426277187737E-2</v>
      </c>
    </row>
    <row r="64" spans="3:6" hidden="1" x14ac:dyDescent="0.35">
      <c r="C64" t="s">
        <v>76</v>
      </c>
      <c r="D64">
        <f>I31</f>
        <v>5.2572221333333337E-4</v>
      </c>
      <c r="E64">
        <f>K31</f>
        <v>5.6845122550540003E-10</v>
      </c>
      <c r="F64">
        <f>M31</f>
        <v>7.8986825841800007E-5</v>
      </c>
    </row>
    <row r="65" spans="3:6" hidden="1" x14ac:dyDescent="0.35">
      <c r="C65" t="s">
        <v>28</v>
      </c>
      <c r="D65">
        <f>I34</f>
        <v>0</v>
      </c>
      <c r="E65">
        <f>K34</f>
        <v>2.1809999999999998E-9</v>
      </c>
      <c r="F65">
        <f>M34</f>
        <v>0</v>
      </c>
    </row>
    <row r="66" spans="3:6" hidden="1" x14ac:dyDescent="0.35">
      <c r="C66" t="s">
        <v>31</v>
      </c>
      <c r="D66">
        <f>I37</f>
        <v>1.5881617025333336E-3</v>
      </c>
      <c r="E66">
        <f>K37</f>
        <v>1.5787446761045099E-11</v>
      </c>
      <c r="F66">
        <f>M37</f>
        <v>1.0686058812E-6</v>
      </c>
    </row>
    <row r="67" spans="3:6" hidden="1" x14ac:dyDescent="0.35">
      <c r="C67" t="s">
        <v>77</v>
      </c>
      <c r="D67">
        <f>SUM(D63:D66)</f>
        <v>9.841113679280665E-2</v>
      </c>
      <c r="E67">
        <f t="shared" ref="E67:F67" si="33">SUM(E63:E66)</f>
        <v>1.2553504932743518E-7</v>
      </c>
      <c r="F67">
        <f t="shared" si="33"/>
        <v>2.6790481708910737E-2</v>
      </c>
    </row>
  </sheetData>
  <mergeCells count="3">
    <mergeCell ref="H2:I2"/>
    <mergeCell ref="J2:K2"/>
    <mergeCell ref="L2:M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A7A1-31AF-4564-8A9D-4ADEED055CDC}">
  <dimension ref="A2:M67"/>
  <sheetViews>
    <sheetView zoomScale="90" zoomScaleNormal="90" workbookViewId="0"/>
  </sheetViews>
  <sheetFormatPr baseColWidth="10" defaultRowHeight="14.5" x14ac:dyDescent="0.35"/>
  <cols>
    <col min="1" max="1" width="22.08984375" customWidth="1"/>
    <col min="2" max="2" width="25.81640625" customWidth="1"/>
    <col min="3" max="4" width="30.36328125" customWidth="1"/>
    <col min="5" max="5" width="9" customWidth="1"/>
    <col min="7" max="7" width="69.90625" style="6" customWidth="1"/>
    <col min="8" max="13" width="19.36328125" customWidth="1"/>
  </cols>
  <sheetData>
    <row r="2" spans="1:13" s="7" customFormat="1" x14ac:dyDescent="0.35">
      <c r="G2" s="41"/>
      <c r="H2" s="47" t="s">
        <v>93</v>
      </c>
      <c r="I2" s="47"/>
      <c r="J2" s="47" t="s">
        <v>53</v>
      </c>
      <c r="K2" s="47"/>
      <c r="L2" s="47" t="s">
        <v>54</v>
      </c>
      <c r="M2" s="47"/>
    </row>
    <row r="3" spans="1:13" s="7" customFormat="1" ht="29" x14ac:dyDescent="0.35">
      <c r="D3" s="7" t="s">
        <v>108</v>
      </c>
      <c r="E3" s="7" t="s">
        <v>7</v>
      </c>
      <c r="F3" s="7" t="s">
        <v>15</v>
      </c>
      <c r="G3" s="7" t="s">
        <v>94</v>
      </c>
      <c r="H3" s="10" t="s">
        <v>37</v>
      </c>
      <c r="I3" s="10" t="s">
        <v>38</v>
      </c>
      <c r="J3" s="10" t="s">
        <v>37</v>
      </c>
      <c r="K3" s="10" t="s">
        <v>38</v>
      </c>
      <c r="L3" s="10" t="s">
        <v>37</v>
      </c>
      <c r="M3" s="10" t="s">
        <v>38</v>
      </c>
    </row>
    <row r="4" spans="1:13" s="1" customFormat="1" x14ac:dyDescent="0.35">
      <c r="A4" s="11" t="s">
        <v>35</v>
      </c>
      <c r="B4" s="11"/>
      <c r="C4" s="11"/>
      <c r="E4" s="1">
        <v>1</v>
      </c>
      <c r="F4" s="1" t="s">
        <v>36</v>
      </c>
      <c r="G4" s="14"/>
      <c r="I4" s="1">
        <f t="shared" ref="I4" si="0">SUM(I5,I21,I28,I31,I34,I37)</f>
        <v>7.7732199692806647E-2</v>
      </c>
      <c r="K4" s="1">
        <f>SUM(K5,K21,K28,K31,K34,K37)</f>
        <v>9.346296030222413E-8</v>
      </c>
      <c r="M4" s="1">
        <f t="shared" ref="M4" si="1">SUM(M5,M21,M28,M31,M34,M37)</f>
        <v>1.4728194693940239E-2</v>
      </c>
    </row>
    <row r="5" spans="1:13" s="4" customFormat="1" x14ac:dyDescent="0.35">
      <c r="A5" s="9"/>
      <c r="B5" s="9" t="s">
        <v>0</v>
      </c>
      <c r="C5" s="9"/>
      <c r="G5" s="13"/>
      <c r="I5" s="4">
        <f>SUM(I6,I9,I12,I14,I16,I19)</f>
        <v>7.4900270099999999E-2</v>
      </c>
      <c r="K5" s="4">
        <f t="shared" ref="K5:M5" si="2">SUM(K6,K9,K12,K14,K16,K19)</f>
        <v>8.943902839035289E-8</v>
      </c>
      <c r="M5" s="4">
        <f t="shared" si="2"/>
        <v>1.4559178427893499E-2</v>
      </c>
    </row>
    <row r="6" spans="1:13" s="2" customFormat="1" ht="15" thickBot="1" x14ac:dyDescent="0.4">
      <c r="A6" s="8"/>
      <c r="B6" s="8"/>
      <c r="C6" s="8" t="s">
        <v>1</v>
      </c>
      <c r="G6" s="12"/>
      <c r="I6" s="2">
        <f>SUM(I7:I8)</f>
        <v>5.7355269333333337E-3</v>
      </c>
      <c r="K6" s="2">
        <f t="shared" ref="K6:M6" si="3">SUM(K7:K8)</f>
        <v>7.3921725053000006E-9</v>
      </c>
      <c r="M6" s="2">
        <f t="shared" si="3"/>
        <v>1.779340184898E-3</v>
      </c>
    </row>
    <row r="7" spans="1:13" ht="15" thickBot="1" x14ac:dyDescent="0.4">
      <c r="A7" s="7"/>
      <c r="B7" s="7"/>
      <c r="C7" s="7"/>
      <c r="D7" s="29" t="s">
        <v>11</v>
      </c>
      <c r="E7" s="29">
        <f>2/1000</f>
        <v>2E-3</v>
      </c>
      <c r="F7" s="32" t="s">
        <v>33</v>
      </c>
      <c r="G7" s="33" t="s">
        <v>67</v>
      </c>
      <c r="H7" s="34">
        <v>1.8000000000000003</v>
      </c>
      <c r="I7">
        <f>H7*$E7</f>
        <v>3.6000000000000008E-3</v>
      </c>
      <c r="J7" s="34">
        <v>2.5508505742199999E-6</v>
      </c>
      <c r="K7">
        <f t="shared" ref="K7:M7" si="4">J7*$E7</f>
        <v>5.1017011484400001E-9</v>
      </c>
      <c r="L7" s="34">
        <v>0.83743000000000001</v>
      </c>
      <c r="M7">
        <f t="shared" si="4"/>
        <v>1.67486E-3</v>
      </c>
    </row>
    <row r="8" spans="1:13" ht="15" thickBot="1" x14ac:dyDescent="0.4">
      <c r="A8" s="7"/>
      <c r="B8" s="7"/>
      <c r="C8" s="7"/>
      <c r="D8" s="29" t="s">
        <v>12</v>
      </c>
      <c r="E8" s="29">
        <f>2/1000</f>
        <v>2E-3</v>
      </c>
      <c r="F8" s="32" t="s">
        <v>33</v>
      </c>
      <c r="G8" s="33" t="s">
        <v>64</v>
      </c>
      <c r="H8" s="34">
        <v>1.0677634666666667</v>
      </c>
      <c r="I8">
        <f>H8*$E8</f>
        <v>2.1355269333333334E-3</v>
      </c>
      <c r="J8" s="34">
        <v>1.1452356784300002E-6</v>
      </c>
      <c r="K8">
        <f>J8*$E8</f>
        <v>2.2904713568600006E-9</v>
      </c>
      <c r="L8" s="34">
        <v>5.2240092448999999E-2</v>
      </c>
      <c r="M8">
        <f t="shared" ref="M8" si="5">L8*$E8</f>
        <v>1.04480184898E-4</v>
      </c>
    </row>
    <row r="9" spans="1:13" s="2" customFormat="1" ht="15" thickBot="1" x14ac:dyDescent="0.4">
      <c r="A9" s="8"/>
      <c r="B9" s="8"/>
      <c r="C9" s="8" t="s">
        <v>2</v>
      </c>
      <c r="G9" s="12"/>
      <c r="I9" s="2">
        <f>SUM(I10:I11)</f>
        <v>5.7355269333333337E-3</v>
      </c>
      <c r="K9" s="2">
        <f t="shared" ref="K9:M9" si="6">SUM(K10:K11)</f>
        <v>7.3921725053000006E-9</v>
      </c>
      <c r="M9" s="2">
        <f t="shared" si="6"/>
        <v>1.779340184898E-3</v>
      </c>
    </row>
    <row r="10" spans="1:13" ht="15" thickBot="1" x14ac:dyDescent="0.4">
      <c r="A10" s="7"/>
      <c r="B10" s="7"/>
      <c r="C10" s="7"/>
      <c r="D10" s="29" t="s">
        <v>11</v>
      </c>
      <c r="E10" s="29">
        <f>2/1000</f>
        <v>2E-3</v>
      </c>
      <c r="F10" s="32" t="s">
        <v>33</v>
      </c>
      <c r="G10" s="33" t="s">
        <v>67</v>
      </c>
      <c r="H10" s="34">
        <v>1.8000000000000003</v>
      </c>
      <c r="I10">
        <f>H10*$E10</f>
        <v>3.6000000000000008E-3</v>
      </c>
      <c r="J10" s="34">
        <v>2.5508505742199999E-6</v>
      </c>
      <c r="K10">
        <f t="shared" ref="K10:M10" si="7">J10*$E10</f>
        <v>5.1017011484400001E-9</v>
      </c>
      <c r="L10" s="34">
        <v>0.83743000000000001</v>
      </c>
      <c r="M10">
        <f t="shared" si="7"/>
        <v>1.67486E-3</v>
      </c>
    </row>
    <row r="11" spans="1:13" ht="15" thickBot="1" x14ac:dyDescent="0.4">
      <c r="A11" s="7"/>
      <c r="B11" s="7"/>
      <c r="C11" s="7"/>
      <c r="D11" s="29" t="s">
        <v>12</v>
      </c>
      <c r="E11" s="29">
        <f>2/1000</f>
        <v>2E-3</v>
      </c>
      <c r="F11" s="32" t="s">
        <v>33</v>
      </c>
      <c r="G11" s="33" t="s">
        <v>64</v>
      </c>
      <c r="H11" s="34">
        <v>1.0677634666666667</v>
      </c>
      <c r="I11">
        <f>H11*$E11</f>
        <v>2.1355269333333334E-3</v>
      </c>
      <c r="J11" s="34">
        <v>1.1452356784300002E-6</v>
      </c>
      <c r="K11">
        <f>J11*$E11</f>
        <v>2.2904713568600006E-9</v>
      </c>
      <c r="L11" s="34">
        <v>5.2240092448999999E-2</v>
      </c>
      <c r="M11">
        <f t="shared" ref="M11" si="8">L11*$E11</f>
        <v>1.04480184898E-4</v>
      </c>
    </row>
    <row r="12" spans="1:13" s="2" customFormat="1" ht="15" thickBot="1" x14ac:dyDescent="0.4">
      <c r="A12" s="8"/>
      <c r="B12" s="8"/>
      <c r="C12" s="8" t="s">
        <v>3</v>
      </c>
      <c r="G12" s="12"/>
      <c r="I12" s="2">
        <f>SUM(I13)</f>
        <v>6.4000000000000003E-3</v>
      </c>
      <c r="K12" s="2">
        <f t="shared" ref="K12:M12" si="9">SUM(K13)</f>
        <v>9.2260954103999996E-9</v>
      </c>
      <c r="M12" s="2">
        <f t="shared" si="9"/>
        <v>1.4583999999999999E-3</v>
      </c>
    </row>
    <row r="13" spans="1:13" ht="15" thickBot="1" x14ac:dyDescent="0.4">
      <c r="A13" s="7"/>
      <c r="B13" s="7"/>
      <c r="C13" s="7"/>
      <c r="D13" s="29" t="s">
        <v>13</v>
      </c>
      <c r="E13" s="29">
        <f>1/1000</f>
        <v>1E-3</v>
      </c>
      <c r="F13" s="32" t="s">
        <v>33</v>
      </c>
      <c r="G13" s="33" t="s">
        <v>66</v>
      </c>
      <c r="H13" s="34">
        <v>6.4</v>
      </c>
      <c r="I13">
        <f>H13*$E13</f>
        <v>6.4000000000000003E-3</v>
      </c>
      <c r="J13" s="34">
        <v>9.2260954104E-6</v>
      </c>
      <c r="K13">
        <f t="shared" ref="K13:M13" si="10">J13*$E13</f>
        <v>9.2260954103999996E-9</v>
      </c>
      <c r="L13" s="34">
        <v>1.4583999999999999</v>
      </c>
      <c r="M13">
        <f t="shared" si="10"/>
        <v>1.4583999999999999E-3</v>
      </c>
    </row>
    <row r="14" spans="1:13" s="2" customFormat="1" ht="15" thickBot="1" x14ac:dyDescent="0.4">
      <c r="A14" s="8"/>
      <c r="B14" s="8"/>
      <c r="C14" s="8" t="s">
        <v>4</v>
      </c>
      <c r="G14" s="12"/>
      <c r="I14" s="2">
        <f>SUM(I15)</f>
        <v>1.8463603333333335E-2</v>
      </c>
      <c r="K14" s="2">
        <f t="shared" ref="K14:M14" si="11">SUM(K15)</f>
        <v>2.1226551076579899E-8</v>
      </c>
      <c r="M14" s="2">
        <f t="shared" si="11"/>
        <v>5.0472077028800005E-3</v>
      </c>
    </row>
    <row r="15" spans="1:13" s="3" customFormat="1" ht="15" thickBot="1" x14ac:dyDescent="0.4">
      <c r="A15" s="15"/>
      <c r="B15" s="15"/>
      <c r="C15" s="15"/>
      <c r="D15" s="30" t="s">
        <v>14</v>
      </c>
      <c r="E15" s="30">
        <f>10/1000</f>
        <v>0.01</v>
      </c>
      <c r="F15" s="35" t="s">
        <v>33</v>
      </c>
      <c r="G15" s="36" t="s">
        <v>68</v>
      </c>
      <c r="H15" s="37">
        <v>1.8463603333333334</v>
      </c>
      <c r="I15" s="3">
        <f>H15*$E15</f>
        <v>1.8463603333333335E-2</v>
      </c>
      <c r="J15" s="37">
        <v>2.1226551076579899E-6</v>
      </c>
      <c r="K15" s="3">
        <f t="shared" ref="K15:M15" si="12">J15*$E15</f>
        <v>2.1226551076579899E-8</v>
      </c>
      <c r="L15" s="37">
        <v>0.504720770288</v>
      </c>
      <c r="M15" s="3">
        <f t="shared" si="12"/>
        <v>5.0472077028800005E-3</v>
      </c>
    </row>
    <row r="16" spans="1:13" s="2" customFormat="1" ht="15" thickBot="1" x14ac:dyDescent="0.4">
      <c r="A16" s="8"/>
      <c r="B16" s="8"/>
      <c r="C16" s="8" t="s">
        <v>5</v>
      </c>
      <c r="G16" s="12"/>
      <c r="I16" s="2">
        <f>SUM(I17:I18)</f>
        <v>2.2337514900000001E-2</v>
      </c>
      <c r="K16" s="2">
        <f t="shared" ref="K16:M16" si="13">SUM(K17:K18)</f>
        <v>2.3369204764539E-8</v>
      </c>
      <c r="M16" s="2">
        <f t="shared" si="13"/>
        <v>1.2827643717644999E-3</v>
      </c>
    </row>
    <row r="17" spans="1:13" ht="15" thickBot="1" x14ac:dyDescent="0.4">
      <c r="A17" s="7"/>
      <c r="B17" s="7"/>
      <c r="C17" s="7"/>
      <c r="D17" s="31" t="s">
        <v>51</v>
      </c>
      <c r="E17" s="31">
        <f>15/1000</f>
        <v>1.4999999999999999E-2</v>
      </c>
      <c r="F17" s="32" t="s">
        <v>33</v>
      </c>
      <c r="G17" s="33" t="s">
        <v>65</v>
      </c>
      <c r="H17" s="34">
        <v>0.4214041933333334</v>
      </c>
      <c r="I17">
        <f>H17*$E17</f>
        <v>6.3210629000000004E-3</v>
      </c>
      <c r="J17" s="34">
        <v>4.1271130587259997E-7</v>
      </c>
      <c r="K17">
        <f t="shared" ref="K17:M18" si="14">J17*$E17</f>
        <v>6.1906695880889991E-9</v>
      </c>
      <c r="L17" s="34">
        <v>3.3277532335300002E-2</v>
      </c>
      <c r="M17">
        <f t="shared" si="14"/>
        <v>4.9916298502949996E-4</v>
      </c>
    </row>
    <row r="18" spans="1:13" ht="15" thickBot="1" x14ac:dyDescent="0.4">
      <c r="A18" s="7"/>
      <c r="B18" s="7"/>
      <c r="C18" s="7"/>
      <c r="D18" s="31" t="s">
        <v>12</v>
      </c>
      <c r="E18" s="31">
        <f>15/1000</f>
        <v>1.4999999999999999E-2</v>
      </c>
      <c r="F18" s="32" t="s">
        <v>33</v>
      </c>
      <c r="G18" s="33" t="s">
        <v>64</v>
      </c>
      <c r="H18" s="34">
        <v>1.0677634666666667</v>
      </c>
      <c r="I18">
        <f>H18*$E18</f>
        <v>1.6016452E-2</v>
      </c>
      <c r="J18" s="34">
        <v>1.1452356784300002E-6</v>
      </c>
      <c r="K18">
        <f>J18*$E18</f>
        <v>1.7178535176450001E-8</v>
      </c>
      <c r="L18" s="34">
        <v>5.2240092448999999E-2</v>
      </c>
      <c r="M18">
        <f t="shared" si="14"/>
        <v>7.8360138673499991E-4</v>
      </c>
    </row>
    <row r="19" spans="1:13" s="2" customFormat="1" ht="15" thickBot="1" x14ac:dyDescent="0.4">
      <c r="A19" s="8"/>
      <c r="B19" s="8"/>
      <c r="C19" s="8" t="s">
        <v>6</v>
      </c>
      <c r="G19" s="12"/>
      <c r="I19" s="2">
        <f>SUM(I20)</f>
        <v>1.6228098E-2</v>
      </c>
      <c r="K19" s="2">
        <f t="shared" ref="K19:M19" si="15">SUM(K20)</f>
        <v>2.0832832128234E-8</v>
      </c>
      <c r="M19" s="2">
        <f t="shared" si="15"/>
        <v>3.2121259834529997E-3</v>
      </c>
    </row>
    <row r="20" spans="1:13" ht="15" thickBot="1" x14ac:dyDescent="0.4">
      <c r="A20" s="7"/>
      <c r="B20" s="7"/>
      <c r="C20" s="7"/>
      <c r="D20" s="29" t="s">
        <v>18</v>
      </c>
      <c r="E20" s="29">
        <f>15/1000</f>
        <v>1.4999999999999999E-2</v>
      </c>
      <c r="F20" s="32" t="s">
        <v>33</v>
      </c>
      <c r="G20" s="33" t="s">
        <v>70</v>
      </c>
      <c r="H20" s="34">
        <v>1.0818732</v>
      </c>
      <c r="I20">
        <f>H20*$E20</f>
        <v>1.6228098E-2</v>
      </c>
      <c r="J20" s="34">
        <v>1.3888554752156001E-6</v>
      </c>
      <c r="K20">
        <f t="shared" ref="K20:M20" si="16">J20*$E20</f>
        <v>2.0832832128234E-8</v>
      </c>
      <c r="L20" s="34">
        <v>0.2141417322302</v>
      </c>
      <c r="M20">
        <f t="shared" si="16"/>
        <v>3.2121259834529997E-3</v>
      </c>
    </row>
    <row r="21" spans="1:13" s="4" customFormat="1" x14ac:dyDescent="0.35">
      <c r="A21" s="9"/>
      <c r="B21" s="9" t="s">
        <v>20</v>
      </c>
      <c r="C21" s="9"/>
      <c r="G21" s="13"/>
      <c r="I21" s="4">
        <f>SUM(I23:I27)</f>
        <v>1.7047772693999999E-4</v>
      </c>
      <c r="K21" s="4">
        <f t="shared" ref="K21:M21" si="17">SUM(K23:K27)</f>
        <v>2.5534107313230564E-10</v>
      </c>
      <c r="M21" s="4">
        <f t="shared" si="17"/>
        <v>2.58469413037395E-5</v>
      </c>
    </row>
    <row r="22" spans="1:13" s="2" customFormat="1" ht="15" thickBot="1" x14ac:dyDescent="0.4">
      <c r="A22" s="8"/>
      <c r="B22" s="8"/>
      <c r="C22" s="8" t="s">
        <v>24</v>
      </c>
      <c r="G22" s="12"/>
    </row>
    <row r="23" spans="1:13" s="3" customFormat="1" ht="15" thickBot="1" x14ac:dyDescent="0.4">
      <c r="A23" s="15"/>
      <c r="B23" s="15"/>
      <c r="C23" s="15"/>
      <c r="D23" s="30" t="s">
        <v>22</v>
      </c>
      <c r="E23" s="30">
        <f>E17*330/1000</f>
        <v>4.9500000000000004E-3</v>
      </c>
      <c r="F23" s="35" t="s">
        <v>34</v>
      </c>
      <c r="G23" s="36" t="s">
        <v>55</v>
      </c>
      <c r="H23" s="37">
        <v>1.9165274666666666E-2</v>
      </c>
      <c r="I23" s="3">
        <f>H23*$E23</f>
        <v>9.4868109600000002E-5</v>
      </c>
      <c r="J23" s="37">
        <v>3.0730452084717002E-8</v>
      </c>
      <c r="K23" s="3">
        <f t="shared" ref="K23:M27" si="18">J23*$E23</f>
        <v>1.5211573781934918E-10</v>
      </c>
      <c r="L23" s="37">
        <v>3.3946892844999997E-3</v>
      </c>
      <c r="M23" s="3">
        <f t="shared" si="18"/>
        <v>1.6803711958275E-5</v>
      </c>
    </row>
    <row r="24" spans="1:13" s="2" customFormat="1" ht="15" thickBot="1" x14ac:dyDescent="0.4">
      <c r="A24" s="8"/>
      <c r="B24" s="8"/>
      <c r="C24" s="8" t="s">
        <v>25</v>
      </c>
      <c r="G24" s="12"/>
    </row>
    <row r="25" spans="1:13" s="3" customFormat="1" ht="15" thickBot="1" x14ac:dyDescent="0.4">
      <c r="A25" s="15"/>
      <c r="B25" s="15"/>
      <c r="C25" s="15"/>
      <c r="D25" s="30" t="s">
        <v>23</v>
      </c>
      <c r="E25" s="30">
        <f>E17*251/1000</f>
        <v>3.7649999999999997E-3</v>
      </c>
      <c r="F25" s="35" t="s">
        <v>34</v>
      </c>
      <c r="G25" s="36" t="s">
        <v>56</v>
      </c>
      <c r="H25" s="37">
        <v>9.0106626666666672E-3</v>
      </c>
      <c r="I25" s="3">
        <f>H25*$E25</f>
        <v>3.3925144940000002E-5</v>
      </c>
      <c r="J25" s="37">
        <v>9.6644361298000002E-9</v>
      </c>
      <c r="K25" s="3">
        <f t="shared" si="18"/>
        <v>3.6386602028696995E-11</v>
      </c>
      <c r="L25" s="37">
        <v>4.4084466179999997E-4</v>
      </c>
      <c r="M25" s="3">
        <f t="shared" si="18"/>
        <v>1.6597801516769998E-6</v>
      </c>
    </row>
    <row r="26" spans="1:13" s="2" customFormat="1" ht="15" thickBot="1" x14ac:dyDescent="0.4">
      <c r="A26" s="8"/>
      <c r="B26" s="8"/>
      <c r="C26" s="8" t="s">
        <v>26</v>
      </c>
      <c r="G26" s="12"/>
    </row>
    <row r="27" spans="1:13" s="3" customFormat="1" ht="15" thickBot="1" x14ac:dyDescent="0.4">
      <c r="A27" s="15"/>
      <c r="B27" s="15"/>
      <c r="C27" s="15"/>
      <c r="D27" s="30" t="s">
        <v>22</v>
      </c>
      <c r="E27" s="30">
        <f>E17*145/1000</f>
        <v>2.1749999999999999E-3</v>
      </c>
      <c r="F27" s="35" t="s">
        <v>34</v>
      </c>
      <c r="G27" s="36" t="s">
        <v>55</v>
      </c>
      <c r="H27" s="37">
        <v>1.9165274666666666E-2</v>
      </c>
      <c r="I27" s="3">
        <f>H27*$E27</f>
        <v>4.1684472399999993E-5</v>
      </c>
      <c r="J27" s="37">
        <v>3.0730452084717002E-8</v>
      </c>
      <c r="K27" s="3">
        <f t="shared" si="18"/>
        <v>6.6838733284259478E-11</v>
      </c>
      <c r="L27" s="37">
        <v>3.3946892844999997E-3</v>
      </c>
      <c r="M27" s="3">
        <f t="shared" si="18"/>
        <v>7.3834491937874988E-6</v>
      </c>
    </row>
    <row r="28" spans="1:13" s="4" customFormat="1" x14ac:dyDescent="0.35">
      <c r="A28" s="9"/>
      <c r="B28" s="9" t="s">
        <v>72</v>
      </c>
      <c r="C28" s="9"/>
      <c r="G28" s="13"/>
      <c r="I28" s="4">
        <f>I29</f>
        <v>5.4756795E-4</v>
      </c>
      <c r="K28" s="4">
        <f t="shared" ref="K28:M29" si="19">K29</f>
        <v>1.0033521664724999E-9</v>
      </c>
      <c r="M28" s="4">
        <f t="shared" si="19"/>
        <v>6.3113893019999993E-5</v>
      </c>
    </row>
    <row r="29" spans="1:13" s="2" customFormat="1" ht="15" thickBot="1" x14ac:dyDescent="0.4">
      <c r="A29" s="8"/>
      <c r="B29" s="8"/>
      <c r="C29" s="8" t="s">
        <v>58</v>
      </c>
      <c r="G29" s="12"/>
      <c r="I29" s="2">
        <f>I30</f>
        <v>5.4756795E-4</v>
      </c>
      <c r="K29" s="2">
        <f t="shared" si="19"/>
        <v>1.0033521664724999E-9</v>
      </c>
      <c r="M29" s="2">
        <f t="shared" si="19"/>
        <v>6.3113893019999993E-5</v>
      </c>
    </row>
    <row r="30" spans="1:13" ht="15" thickBot="1" x14ac:dyDescent="0.4">
      <c r="A30" s="7"/>
      <c r="B30" s="7"/>
      <c r="C30" s="7"/>
      <c r="D30" s="29" t="s">
        <v>59</v>
      </c>
      <c r="E30" s="30">
        <f>1*(E7+E10+E13+E15+E17+E20)</f>
        <v>4.4999999999999998E-2</v>
      </c>
      <c r="F30" s="32" t="s">
        <v>19</v>
      </c>
      <c r="G30" s="33" t="s">
        <v>57</v>
      </c>
      <c r="H30" s="34">
        <v>1.2168176666666667E-2</v>
      </c>
      <c r="I30">
        <f>H30*$E30</f>
        <v>5.4756795E-4</v>
      </c>
      <c r="J30" s="34">
        <v>2.2296714810499999E-8</v>
      </c>
      <c r="K30">
        <f t="shared" ref="K30:M30" si="20">J30*$E30</f>
        <v>1.0033521664724999E-9</v>
      </c>
      <c r="L30" s="34">
        <v>1.402530956E-3</v>
      </c>
      <c r="M30">
        <f t="shared" si="20"/>
        <v>6.3113893019999993E-5</v>
      </c>
    </row>
    <row r="31" spans="1:13" s="4" customFormat="1" x14ac:dyDescent="0.35">
      <c r="A31" s="9"/>
      <c r="B31" s="9" t="s">
        <v>21</v>
      </c>
      <c r="C31" s="9"/>
      <c r="G31" s="13"/>
      <c r="I31" s="4">
        <f>I32</f>
        <v>5.2572221333333337E-4</v>
      </c>
      <c r="K31" s="4">
        <f t="shared" ref="K31:M32" si="21">K32</f>
        <v>5.6845122550540003E-10</v>
      </c>
      <c r="M31" s="4">
        <f t="shared" si="21"/>
        <v>7.8986825841800007E-5</v>
      </c>
    </row>
    <row r="32" spans="1:13" s="2" customFormat="1" ht="15" thickBot="1" x14ac:dyDescent="0.4">
      <c r="A32" s="8"/>
      <c r="B32" s="8"/>
      <c r="C32" s="8" t="s">
        <v>62</v>
      </c>
      <c r="G32" s="12"/>
      <c r="I32" s="2">
        <f>I33</f>
        <v>5.2572221333333337E-4</v>
      </c>
      <c r="K32" s="2">
        <f t="shared" si="21"/>
        <v>5.6845122550540003E-10</v>
      </c>
      <c r="M32" s="2">
        <f t="shared" si="21"/>
        <v>7.8986825841800007E-5</v>
      </c>
    </row>
    <row r="33" spans="1:13" ht="15" thickBot="1" x14ac:dyDescent="0.4">
      <c r="A33" s="7"/>
      <c r="B33" s="7"/>
      <c r="C33" s="7"/>
      <c r="D33" s="29" t="s">
        <v>27</v>
      </c>
      <c r="E33" s="30">
        <f>20/10000</f>
        <v>2E-3</v>
      </c>
      <c r="F33" s="32" t="s">
        <v>61</v>
      </c>
      <c r="G33" s="33" t="s">
        <v>60</v>
      </c>
      <c r="H33" s="34">
        <v>0.26286110666666668</v>
      </c>
      <c r="I33">
        <f>H33*$E33</f>
        <v>5.2572221333333337E-4</v>
      </c>
      <c r="J33" s="34">
        <v>2.8422561275270002E-7</v>
      </c>
      <c r="K33">
        <f t="shared" ref="K33:M33" si="22">J33*$E33</f>
        <v>5.6845122550540003E-10</v>
      </c>
      <c r="L33" s="34">
        <v>3.9493412920900001E-2</v>
      </c>
      <c r="M33">
        <f t="shared" si="22"/>
        <v>7.8986825841800007E-5</v>
      </c>
    </row>
    <row r="34" spans="1:13" s="4" customFormat="1" x14ac:dyDescent="0.35">
      <c r="A34" s="9"/>
      <c r="B34" s="9" t="s">
        <v>28</v>
      </c>
      <c r="C34" s="9"/>
      <c r="G34" s="13"/>
      <c r="I34" s="4">
        <f>I35</f>
        <v>0</v>
      </c>
      <c r="K34" s="4">
        <f t="shared" ref="K34:M35" si="23">K35</f>
        <v>2.1809999999999998E-9</v>
      </c>
      <c r="M34" s="4">
        <f t="shared" si="23"/>
        <v>0</v>
      </c>
    </row>
    <row r="35" spans="1:13" s="2" customFormat="1" ht="15" thickBot="1" x14ac:dyDescent="0.4">
      <c r="A35" s="8"/>
      <c r="B35" s="8"/>
      <c r="C35" s="8" t="s">
        <v>30</v>
      </c>
      <c r="G35" s="12"/>
      <c r="I35" s="2">
        <f>I36</f>
        <v>0</v>
      </c>
      <c r="K35" s="2">
        <f t="shared" si="23"/>
        <v>2.1809999999999998E-9</v>
      </c>
      <c r="M35" s="2">
        <f t="shared" si="23"/>
        <v>0</v>
      </c>
    </row>
    <row r="36" spans="1:13" ht="15" thickBot="1" x14ac:dyDescent="0.4">
      <c r="A36" s="7"/>
      <c r="B36" s="7"/>
      <c r="C36" s="7"/>
      <c r="D36" s="29" t="s">
        <v>29</v>
      </c>
      <c r="E36" s="30">
        <f>E20</f>
        <v>1.4999999999999999E-2</v>
      </c>
      <c r="F36" s="35" t="s">
        <v>33</v>
      </c>
      <c r="G36" s="33" t="s">
        <v>71</v>
      </c>
      <c r="H36" s="34">
        <v>0</v>
      </c>
      <c r="I36">
        <f>H36*$E36</f>
        <v>0</v>
      </c>
      <c r="J36" s="34">
        <v>1.4539999999999999E-7</v>
      </c>
      <c r="K36">
        <f t="shared" ref="K36:M36" si="24">J36*$E36</f>
        <v>2.1809999999999998E-9</v>
      </c>
      <c r="L36" s="34">
        <v>0</v>
      </c>
      <c r="M36">
        <f t="shared" si="24"/>
        <v>0</v>
      </c>
    </row>
    <row r="37" spans="1:13" s="4" customFormat="1" x14ac:dyDescent="0.35">
      <c r="A37" s="9"/>
      <c r="B37" s="9" t="s">
        <v>31</v>
      </c>
      <c r="C37" s="9"/>
      <c r="G37" s="13"/>
      <c r="I37" s="4">
        <f>SUM(I38,I40)</f>
        <v>1.5881617025333336E-3</v>
      </c>
      <c r="K37" s="4">
        <f t="shared" ref="K37:M37" si="25">K38</f>
        <v>1.5787446761045099E-11</v>
      </c>
      <c r="M37" s="4">
        <f t="shared" si="25"/>
        <v>1.0686058812E-6</v>
      </c>
    </row>
    <row r="38" spans="1:13" s="2" customFormat="1" ht="15" thickBot="1" x14ac:dyDescent="0.4">
      <c r="A38" s="8"/>
      <c r="B38" s="8"/>
      <c r="C38" s="8" t="s">
        <v>39</v>
      </c>
      <c r="G38" s="12"/>
      <c r="I38" s="2">
        <f>SUM(I39:I39)</f>
        <v>9.1142492000000005E-6</v>
      </c>
      <c r="K38" s="2">
        <f>SUM(K39:K39)</f>
        <v>1.5787446761045099E-11</v>
      </c>
      <c r="M38" s="2">
        <f>SUM(M39:M39)</f>
        <v>1.0686058812E-6</v>
      </c>
    </row>
    <row r="39" spans="1:13" ht="15" thickBot="1" x14ac:dyDescent="0.4">
      <c r="A39" s="7"/>
      <c r="B39" s="7"/>
      <c r="C39" s="7"/>
      <c r="D39" s="29" t="s">
        <v>32</v>
      </c>
      <c r="E39" s="29">
        <f>(E7+E10+E13+E15+E17)*10/1000</f>
        <v>2.9999999999999997E-4</v>
      </c>
      <c r="F39" s="32" t="s">
        <v>34</v>
      </c>
      <c r="G39" s="33" t="s">
        <v>52</v>
      </c>
      <c r="H39" s="34">
        <v>3.0380830666666671E-2</v>
      </c>
      <c r="I39">
        <f>H39*$E39</f>
        <v>9.1142492000000005E-6</v>
      </c>
      <c r="J39" s="34">
        <v>5.2624822536817003E-8</v>
      </c>
      <c r="K39">
        <f t="shared" ref="K39:M39" si="26">J39*$E39</f>
        <v>1.5787446761045099E-11</v>
      </c>
      <c r="L39" s="34">
        <v>3.5620196040000002E-3</v>
      </c>
      <c r="M39">
        <f t="shared" si="26"/>
        <v>1.0686058812E-6</v>
      </c>
    </row>
    <row r="40" spans="1:13" s="2" customFormat="1" ht="15" thickBot="1" x14ac:dyDescent="0.4">
      <c r="A40" s="8"/>
      <c r="B40" s="8"/>
      <c r="C40" s="8" t="s">
        <v>50</v>
      </c>
      <c r="G40" s="12"/>
      <c r="I40" s="2">
        <f>SUM(I41:I43)</f>
        <v>1.5790474533333336E-3</v>
      </c>
      <c r="K40" s="2">
        <f>SUM(K41:K43)</f>
        <v>1.5134593672485003E-9</v>
      </c>
      <c r="M40" s="2">
        <f>SUM(M41:M43)</f>
        <v>-3.2296973784400003E-4</v>
      </c>
    </row>
    <row r="41" spans="1:13" ht="15" thickBot="1" x14ac:dyDescent="0.4">
      <c r="A41" s="7"/>
      <c r="B41" s="7"/>
      <c r="C41" s="7"/>
      <c r="D41" s="29" t="s">
        <v>40</v>
      </c>
      <c r="E41" s="29">
        <f>10%*(E7+E10)</f>
        <v>4.0000000000000002E-4</v>
      </c>
      <c r="F41" s="32" t="s">
        <v>33</v>
      </c>
      <c r="G41" s="33" t="s">
        <v>45</v>
      </c>
      <c r="H41" s="34">
        <v>1.1414626000000001</v>
      </c>
      <c r="I41">
        <f t="shared" ref="I41:I43" si="27">H41*$E41</f>
        <v>4.5658504000000008E-4</v>
      </c>
      <c r="J41" s="34">
        <v>1.102414804793E-6</v>
      </c>
      <c r="K41">
        <f t="shared" ref="K41:K43" si="28">J41*$E41</f>
        <v>4.4096592191720004E-10</v>
      </c>
      <c r="L41" s="34">
        <v>-0.29154514250700003</v>
      </c>
      <c r="M41">
        <f t="shared" ref="M41:M43" si="29">L41*$E41</f>
        <v>-1.1661805700280002E-4</v>
      </c>
    </row>
    <row r="42" spans="1:13" ht="15" thickBot="1" x14ac:dyDescent="0.4">
      <c r="A42" s="7"/>
      <c r="B42" s="7"/>
      <c r="C42" s="7"/>
      <c r="D42" s="29" t="s">
        <v>41</v>
      </c>
      <c r="E42" s="29">
        <f>10%*(E13)</f>
        <v>1E-4</v>
      </c>
      <c r="F42" s="32" t="s">
        <v>33</v>
      </c>
      <c r="G42" s="33" t="s">
        <v>46</v>
      </c>
      <c r="H42" s="34">
        <v>1.1810941333333334</v>
      </c>
      <c r="I42">
        <f t="shared" si="27"/>
        <v>1.1810941333333334E-4</v>
      </c>
      <c r="J42" s="34">
        <v>1.1238763089730001E-6</v>
      </c>
      <c r="K42">
        <f t="shared" si="28"/>
        <v>1.1238763089730002E-10</v>
      </c>
      <c r="L42" s="34">
        <v>-0.18802462848199999</v>
      </c>
      <c r="M42">
        <f t="shared" si="29"/>
        <v>-1.88024628482E-5</v>
      </c>
    </row>
    <row r="43" spans="1:13" ht="15" thickBot="1" x14ac:dyDescent="0.4">
      <c r="A43" s="7"/>
      <c r="B43" s="7"/>
      <c r="C43" s="7"/>
      <c r="D43" s="29" t="s">
        <v>42</v>
      </c>
      <c r="E43" s="29">
        <f>10%*(E15)</f>
        <v>1E-3</v>
      </c>
      <c r="F43" s="32" t="s">
        <v>33</v>
      </c>
      <c r="G43" s="33" t="s">
        <v>47</v>
      </c>
      <c r="H43" s="34">
        <v>1.0043530000000001</v>
      </c>
      <c r="I43">
        <f t="shared" si="27"/>
        <v>1.0043530000000001E-3</v>
      </c>
      <c r="J43" s="34">
        <v>9.6010581443400025E-7</v>
      </c>
      <c r="K43">
        <f t="shared" si="28"/>
        <v>9.6010581443400019E-10</v>
      </c>
      <c r="L43" s="34">
        <v>-0.18754921799300001</v>
      </c>
      <c r="M43">
        <f t="shared" si="29"/>
        <v>-1.87549217993E-4</v>
      </c>
    </row>
    <row r="48" spans="1:13" hidden="1" x14ac:dyDescent="0.35">
      <c r="D48" t="s">
        <v>93</v>
      </c>
      <c r="E48" t="s">
        <v>53</v>
      </c>
      <c r="F48" t="s">
        <v>54</v>
      </c>
    </row>
    <row r="49" spans="3:6" hidden="1" x14ac:dyDescent="0.35">
      <c r="C49" t="s">
        <v>1</v>
      </c>
      <c r="D49">
        <f>I6</f>
        <v>5.7355269333333337E-3</v>
      </c>
      <c r="E49">
        <f>K6</f>
        <v>7.3921725053000006E-9</v>
      </c>
      <c r="F49">
        <f>M6</f>
        <v>1.779340184898E-3</v>
      </c>
    </row>
    <row r="50" spans="3:6" hidden="1" x14ac:dyDescent="0.35">
      <c r="C50" t="s">
        <v>2</v>
      </c>
      <c r="D50">
        <f>I9</f>
        <v>5.7355269333333337E-3</v>
      </c>
      <c r="E50">
        <f>K9</f>
        <v>7.3921725053000006E-9</v>
      </c>
      <c r="F50">
        <f>M9</f>
        <v>1.779340184898E-3</v>
      </c>
    </row>
    <row r="51" spans="3:6" hidden="1" x14ac:dyDescent="0.35">
      <c r="C51" t="s">
        <v>3</v>
      </c>
      <c r="D51">
        <f>I12</f>
        <v>6.4000000000000003E-3</v>
      </c>
      <c r="E51">
        <f>K12</f>
        <v>9.2260954103999996E-9</v>
      </c>
      <c r="F51">
        <f>M12</f>
        <v>1.4583999999999999E-3</v>
      </c>
    </row>
    <row r="52" spans="3:6" hidden="1" x14ac:dyDescent="0.35">
      <c r="C52" t="s">
        <v>4</v>
      </c>
      <c r="D52">
        <f>I14</f>
        <v>1.8463603333333335E-2</v>
      </c>
      <c r="E52">
        <f>K14</f>
        <v>2.1226551076579899E-8</v>
      </c>
      <c r="F52">
        <f>M14</f>
        <v>5.0472077028800005E-3</v>
      </c>
    </row>
    <row r="53" spans="3:6" hidden="1" x14ac:dyDescent="0.35">
      <c r="C53" t="s">
        <v>73</v>
      </c>
      <c r="D53">
        <f>I16+I21</f>
        <v>2.2507992626940001E-2</v>
      </c>
      <c r="E53">
        <f>K16+K21</f>
        <v>2.3624545837671306E-8</v>
      </c>
      <c r="F53">
        <f>M16+M21</f>
        <v>1.3086113130682394E-3</v>
      </c>
    </row>
    <row r="54" spans="3:6" hidden="1" x14ac:dyDescent="0.35">
      <c r="C54" t="s">
        <v>6</v>
      </c>
      <c r="D54">
        <f>I19</f>
        <v>1.6228098E-2</v>
      </c>
      <c r="E54">
        <f>K19</f>
        <v>2.0832832128234E-8</v>
      </c>
      <c r="F54">
        <f>M19</f>
        <v>3.2121259834529997E-3</v>
      </c>
    </row>
    <row r="55" spans="3:6" hidden="1" x14ac:dyDescent="0.35"/>
    <row r="56" spans="3:6" hidden="1" x14ac:dyDescent="0.35">
      <c r="D56" t="s">
        <v>93</v>
      </c>
      <c r="E56" t="s">
        <v>53</v>
      </c>
      <c r="F56" t="s">
        <v>54</v>
      </c>
    </row>
    <row r="57" spans="3:6" hidden="1" x14ac:dyDescent="0.35">
      <c r="C57" t="s">
        <v>0</v>
      </c>
      <c r="D57">
        <f>I5</f>
        <v>7.4900270099999999E-2</v>
      </c>
      <c r="E57">
        <f>K5</f>
        <v>8.943902839035289E-8</v>
      </c>
      <c r="F57">
        <f>M5</f>
        <v>1.4559178427893499E-2</v>
      </c>
    </row>
    <row r="58" spans="3:6" hidden="1" x14ac:dyDescent="0.35">
      <c r="C58" t="s">
        <v>20</v>
      </c>
      <c r="D58">
        <f>I21</f>
        <v>1.7047772693999999E-4</v>
      </c>
      <c r="E58">
        <f>K21</f>
        <v>2.5534107313230564E-10</v>
      </c>
      <c r="F58">
        <f>M21</f>
        <v>2.58469413037395E-5</v>
      </c>
    </row>
    <row r="59" spans="3:6" hidden="1" x14ac:dyDescent="0.35">
      <c r="C59" t="s">
        <v>74</v>
      </c>
      <c r="D59">
        <f>I28</f>
        <v>5.4756795E-4</v>
      </c>
      <c r="E59">
        <f>K28</f>
        <v>1.0033521664724999E-9</v>
      </c>
      <c r="F59">
        <f>M28</f>
        <v>6.3113893019999993E-5</v>
      </c>
    </row>
    <row r="60" spans="3:6" hidden="1" x14ac:dyDescent="0.35">
      <c r="C60" t="s">
        <v>78</v>
      </c>
      <c r="D60">
        <f>SUM(D57:D59)</f>
        <v>7.561831577693999E-2</v>
      </c>
      <c r="E60">
        <f t="shared" ref="E60:F60" si="30">SUM(E57:E59)</f>
        <v>9.0697721629957689E-8</v>
      </c>
      <c r="F60">
        <f t="shared" si="30"/>
        <v>1.4648139262217238E-2</v>
      </c>
    </row>
    <row r="61" spans="3:6" hidden="1" x14ac:dyDescent="0.35"/>
    <row r="62" spans="3:6" hidden="1" x14ac:dyDescent="0.35">
      <c r="D62" t="s">
        <v>93</v>
      </c>
      <c r="E62" t="s">
        <v>53</v>
      </c>
      <c r="F62" t="s">
        <v>54</v>
      </c>
    </row>
    <row r="63" spans="3:6" hidden="1" x14ac:dyDescent="0.35">
      <c r="C63" t="s">
        <v>75</v>
      </c>
      <c r="D63">
        <f>D60</f>
        <v>7.561831577693999E-2</v>
      </c>
      <c r="E63">
        <f>E60</f>
        <v>9.0697721629957689E-8</v>
      </c>
      <c r="F63">
        <f t="shared" ref="F63" si="31">F60</f>
        <v>1.4648139262217238E-2</v>
      </c>
    </row>
    <row r="64" spans="3:6" hidden="1" x14ac:dyDescent="0.35">
      <c r="C64" t="s">
        <v>76</v>
      </c>
      <c r="D64">
        <f>I31</f>
        <v>5.2572221333333337E-4</v>
      </c>
      <c r="E64">
        <f>K31</f>
        <v>5.6845122550540003E-10</v>
      </c>
      <c r="F64">
        <f>M31</f>
        <v>7.8986825841800007E-5</v>
      </c>
    </row>
    <row r="65" spans="3:6" hidden="1" x14ac:dyDescent="0.35">
      <c r="C65" t="s">
        <v>28</v>
      </c>
      <c r="D65">
        <f>I34</f>
        <v>0</v>
      </c>
      <c r="E65">
        <f>K34</f>
        <v>2.1809999999999998E-9</v>
      </c>
      <c r="F65">
        <f>M34</f>
        <v>0</v>
      </c>
    </row>
    <row r="66" spans="3:6" hidden="1" x14ac:dyDescent="0.35">
      <c r="C66" t="s">
        <v>31</v>
      </c>
      <c r="D66">
        <f>I37</f>
        <v>1.5881617025333336E-3</v>
      </c>
      <c r="E66">
        <f>K37</f>
        <v>1.5787446761045099E-11</v>
      </c>
      <c r="F66">
        <f>M37</f>
        <v>1.0686058812E-6</v>
      </c>
    </row>
    <row r="67" spans="3:6" hidden="1" x14ac:dyDescent="0.35">
      <c r="C67" t="s">
        <v>77</v>
      </c>
      <c r="D67">
        <f>SUM(D63:D66)</f>
        <v>7.7732199692806647E-2</v>
      </c>
      <c r="E67">
        <f t="shared" ref="E67:F67" si="32">SUM(E63:E66)</f>
        <v>9.346296030222413E-8</v>
      </c>
      <c r="F67">
        <f t="shared" si="32"/>
        <v>1.4728194693940239E-2</v>
      </c>
    </row>
  </sheetData>
  <mergeCells count="3">
    <mergeCell ref="H2:I2"/>
    <mergeCell ref="J2:K2"/>
    <mergeCell ref="L2:M2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5C59-A1E5-4384-BD97-2BB171DC139C}">
  <dimension ref="A2:O67"/>
  <sheetViews>
    <sheetView zoomScale="90" zoomScaleNormal="90" workbookViewId="0"/>
  </sheetViews>
  <sheetFormatPr baseColWidth="10" defaultRowHeight="14.5" x14ac:dyDescent="0.35"/>
  <cols>
    <col min="1" max="1" width="22.08984375" customWidth="1"/>
    <col min="2" max="2" width="25.81640625" customWidth="1"/>
    <col min="3" max="3" width="32.36328125" customWidth="1"/>
    <col min="4" max="4" width="30.7265625" customWidth="1"/>
    <col min="5" max="5" width="9" customWidth="1"/>
    <col min="6" max="6" width="12.54296875" bestFit="1" customWidth="1"/>
    <col min="7" max="7" width="69.90625" style="6" customWidth="1"/>
    <col min="8" max="13" width="19.36328125" customWidth="1"/>
  </cols>
  <sheetData>
    <row r="2" spans="1:15" s="7" customFormat="1" x14ac:dyDescent="0.35">
      <c r="G2" s="41"/>
      <c r="H2" s="47" t="s">
        <v>93</v>
      </c>
      <c r="I2" s="47"/>
      <c r="J2" s="47" t="s">
        <v>53</v>
      </c>
      <c r="K2" s="47"/>
      <c r="L2" s="47" t="s">
        <v>54</v>
      </c>
      <c r="M2" s="47"/>
    </row>
    <row r="3" spans="1:15" s="7" customFormat="1" ht="29" x14ac:dyDescent="0.35">
      <c r="D3" s="7" t="s">
        <v>108</v>
      </c>
      <c r="E3" s="7" t="s">
        <v>7</v>
      </c>
      <c r="F3" s="7" t="s">
        <v>15</v>
      </c>
      <c r="G3" s="7" t="s">
        <v>94</v>
      </c>
      <c r="H3" s="10" t="s">
        <v>37</v>
      </c>
      <c r="I3" s="10" t="s">
        <v>38</v>
      </c>
      <c r="J3" s="10" t="s">
        <v>37</v>
      </c>
      <c r="K3" s="10" t="s">
        <v>38</v>
      </c>
      <c r="L3" s="10" t="s">
        <v>37</v>
      </c>
      <c r="M3" s="10" t="s">
        <v>38</v>
      </c>
    </row>
    <row r="4" spans="1:15" s="1" customFormat="1" x14ac:dyDescent="0.35">
      <c r="A4" s="11" t="s">
        <v>35</v>
      </c>
      <c r="B4" s="11"/>
      <c r="C4" s="11"/>
      <c r="E4" s="1">
        <v>1</v>
      </c>
      <c r="F4" s="1" t="s">
        <v>36</v>
      </c>
      <c r="G4" s="14"/>
      <c r="I4" s="1">
        <f t="shared" ref="I4" si="0">SUM(I5,I21,I28,I31,I34,I37)</f>
        <v>6.2209090491677332E-2</v>
      </c>
      <c r="K4" s="1">
        <f>SUM(K5,K21,K28,K31,K34,K37)</f>
        <v>-2.1865034992856795E-4</v>
      </c>
      <c r="M4" s="1">
        <f t="shared" ref="M4" si="1">SUM(M5,M21,M28,M31,M34,M37)</f>
        <v>1.3737127047668557E-2</v>
      </c>
    </row>
    <row r="5" spans="1:15" s="4" customFormat="1" x14ac:dyDescent="0.35">
      <c r="A5" s="9"/>
      <c r="B5" s="9" t="s">
        <v>0</v>
      </c>
      <c r="C5" s="9"/>
      <c r="G5" s="13"/>
      <c r="I5" s="4">
        <f>SUM(I6,I9,I12,I14,I16,I19)</f>
        <v>7.1191187733333341E-2</v>
      </c>
      <c r="K5" s="4">
        <f t="shared" ref="K5:M5" si="2">SUM(K6,K9,K12,K14,K16,K19)</f>
        <v>8.8751782866643735E-8</v>
      </c>
      <c r="M5" s="4">
        <f t="shared" si="2"/>
        <v>1.3925354226533E-2</v>
      </c>
    </row>
    <row r="6" spans="1:15" s="2" customFormat="1" ht="15" thickBot="1" x14ac:dyDescent="0.4">
      <c r="A6" s="8"/>
      <c r="B6" s="8"/>
      <c r="C6" s="8" t="s">
        <v>1</v>
      </c>
      <c r="G6" s="12"/>
      <c r="I6" s="2">
        <f>SUM(I7:I8)</f>
        <v>5.7355269333333337E-3</v>
      </c>
      <c r="K6" s="2">
        <f t="shared" ref="K6:M6" si="3">SUM(K7:K8)</f>
        <v>7.3921725053000006E-9</v>
      </c>
      <c r="M6" s="2">
        <f t="shared" si="3"/>
        <v>1.779340184898E-3</v>
      </c>
    </row>
    <row r="7" spans="1:15" ht="15" thickBot="1" x14ac:dyDescent="0.4">
      <c r="A7" s="7"/>
      <c r="B7" s="7"/>
      <c r="C7" s="7"/>
      <c r="D7" s="29" t="s">
        <v>11</v>
      </c>
      <c r="E7" s="29">
        <f>2/1000</f>
        <v>2E-3</v>
      </c>
      <c r="F7" s="32" t="s">
        <v>33</v>
      </c>
      <c r="G7" s="33" t="s">
        <v>67</v>
      </c>
      <c r="H7" s="34">
        <v>1.8000000000000003</v>
      </c>
      <c r="I7">
        <f>H7*$E7</f>
        <v>3.6000000000000008E-3</v>
      </c>
      <c r="J7" s="34">
        <v>2.5508505742199999E-6</v>
      </c>
      <c r="K7">
        <f t="shared" ref="K7:M10" si="4">J7*$E7</f>
        <v>5.1017011484400001E-9</v>
      </c>
      <c r="L7" s="34">
        <v>0.83743000000000001</v>
      </c>
      <c r="M7">
        <f t="shared" si="4"/>
        <v>1.67486E-3</v>
      </c>
    </row>
    <row r="8" spans="1:15" ht="15" thickBot="1" x14ac:dyDescent="0.4">
      <c r="A8" s="7"/>
      <c r="B8" s="7"/>
      <c r="C8" s="7"/>
      <c r="D8" s="29" t="s">
        <v>12</v>
      </c>
      <c r="E8" s="29">
        <f>2/1000</f>
        <v>2E-3</v>
      </c>
      <c r="F8" s="32" t="s">
        <v>33</v>
      </c>
      <c r="G8" s="33" t="s">
        <v>64</v>
      </c>
      <c r="H8" s="34">
        <v>1.0677634666666667</v>
      </c>
      <c r="I8">
        <f>H8*$E8</f>
        <v>2.1355269333333334E-3</v>
      </c>
      <c r="J8" s="34">
        <v>1.1452356784300002E-6</v>
      </c>
      <c r="K8">
        <f>J8*$E8</f>
        <v>2.2904713568600006E-9</v>
      </c>
      <c r="L8" s="34">
        <v>5.2240092448999999E-2</v>
      </c>
      <c r="M8">
        <f t="shared" si="4"/>
        <v>1.04480184898E-4</v>
      </c>
    </row>
    <row r="9" spans="1:15" s="2" customFormat="1" ht="15" thickBot="1" x14ac:dyDescent="0.4">
      <c r="A9" s="8"/>
      <c r="B9" s="8"/>
      <c r="C9" s="8" t="s">
        <v>2</v>
      </c>
      <c r="G9" s="12"/>
      <c r="I9" s="2">
        <f>SUM(I10:I11)</f>
        <v>5.7355269333333337E-3</v>
      </c>
      <c r="K9" s="2">
        <f t="shared" ref="K9:M9" si="5">SUM(K10:K11)</f>
        <v>7.3921725053000006E-9</v>
      </c>
      <c r="M9" s="2">
        <f t="shared" si="5"/>
        <v>1.779340184898E-3</v>
      </c>
    </row>
    <row r="10" spans="1:15" ht="15" thickBot="1" x14ac:dyDescent="0.4">
      <c r="A10" s="7"/>
      <c r="B10" s="7"/>
      <c r="C10" s="7"/>
      <c r="D10" s="29" t="s">
        <v>11</v>
      </c>
      <c r="E10" s="29">
        <f>2/1000</f>
        <v>2E-3</v>
      </c>
      <c r="F10" s="32" t="s">
        <v>33</v>
      </c>
      <c r="G10" s="33" t="s">
        <v>67</v>
      </c>
      <c r="H10" s="34">
        <v>1.8000000000000003</v>
      </c>
      <c r="I10">
        <f>H10*$E10</f>
        <v>3.6000000000000008E-3</v>
      </c>
      <c r="J10" s="34">
        <v>2.5508505742199999E-6</v>
      </c>
      <c r="K10">
        <f t="shared" si="4"/>
        <v>5.1017011484400001E-9</v>
      </c>
      <c r="L10" s="34">
        <v>0.83743000000000001</v>
      </c>
      <c r="M10">
        <f t="shared" si="4"/>
        <v>1.67486E-3</v>
      </c>
    </row>
    <row r="11" spans="1:15" ht="15" thickBot="1" x14ac:dyDescent="0.4">
      <c r="A11" s="7"/>
      <c r="B11" s="7"/>
      <c r="C11" s="7"/>
      <c r="D11" s="29" t="s">
        <v>12</v>
      </c>
      <c r="E11" s="29">
        <f>2/1000</f>
        <v>2E-3</v>
      </c>
      <c r="F11" s="32" t="s">
        <v>33</v>
      </c>
      <c r="G11" s="33" t="s">
        <v>64</v>
      </c>
      <c r="H11" s="34">
        <v>1.0677634666666667</v>
      </c>
      <c r="I11">
        <f>H11*$E11</f>
        <v>2.1355269333333334E-3</v>
      </c>
      <c r="J11" s="34">
        <v>1.1452356784300002E-6</v>
      </c>
      <c r="K11">
        <f>J11*$E11</f>
        <v>2.2904713568600006E-9</v>
      </c>
      <c r="L11" s="34">
        <v>5.2240092448999999E-2</v>
      </c>
      <c r="M11">
        <f t="shared" ref="M11" si="6">L11*$E11</f>
        <v>1.04480184898E-4</v>
      </c>
    </row>
    <row r="12" spans="1:15" s="2" customFormat="1" ht="15" thickBot="1" x14ac:dyDescent="0.4">
      <c r="A12" s="8"/>
      <c r="B12" s="8"/>
      <c r="C12" s="8" t="s">
        <v>3</v>
      </c>
      <c r="G12" s="12"/>
      <c r="I12" s="2">
        <f>SUM(I13)</f>
        <v>6.4000000000000003E-3</v>
      </c>
      <c r="K12" s="2">
        <f t="shared" ref="K12:M12" si="7">SUM(K13)</f>
        <v>9.2260954103999996E-9</v>
      </c>
      <c r="M12" s="2">
        <f t="shared" si="7"/>
        <v>1.4583999999999999E-3</v>
      </c>
    </row>
    <row r="13" spans="1:15" ht="15" thickBot="1" x14ac:dyDescent="0.4">
      <c r="A13" s="7"/>
      <c r="B13" s="7"/>
      <c r="C13" s="7"/>
      <c r="D13" s="29" t="s">
        <v>13</v>
      </c>
      <c r="E13" s="29">
        <f>1/1000</f>
        <v>1E-3</v>
      </c>
      <c r="F13" s="32" t="s">
        <v>33</v>
      </c>
      <c r="G13" s="33" t="s">
        <v>66</v>
      </c>
      <c r="H13" s="34">
        <v>6.4</v>
      </c>
      <c r="I13">
        <f>H13*$E13</f>
        <v>6.4000000000000003E-3</v>
      </c>
      <c r="J13" s="34">
        <v>9.2260954104E-6</v>
      </c>
      <c r="K13">
        <f t="shared" ref="K13:M13" si="8">J13*$E13</f>
        <v>9.2260954103999996E-9</v>
      </c>
      <c r="L13" s="34">
        <v>1.4583999999999999</v>
      </c>
      <c r="M13">
        <f t="shared" si="8"/>
        <v>1.4583999999999999E-3</v>
      </c>
    </row>
    <row r="14" spans="1:15" s="2" customFormat="1" ht="15" thickBot="1" x14ac:dyDescent="0.4">
      <c r="A14" s="8"/>
      <c r="B14" s="8"/>
      <c r="C14" s="8" t="s">
        <v>4</v>
      </c>
      <c r="G14" s="12"/>
      <c r="I14" s="2">
        <f>SUM(I15)</f>
        <v>1.8463603333333335E-2</v>
      </c>
      <c r="K14" s="2">
        <f t="shared" ref="K14:M14" si="9">SUM(K15)</f>
        <v>2.1226551076579899E-8</v>
      </c>
      <c r="M14" s="2">
        <f t="shared" si="9"/>
        <v>5.0472077028800005E-3</v>
      </c>
    </row>
    <row r="15" spans="1:15" s="3" customFormat="1" ht="15" thickBot="1" x14ac:dyDescent="0.4">
      <c r="A15" s="15"/>
      <c r="B15" s="15"/>
      <c r="C15" s="15"/>
      <c r="D15" s="30" t="s">
        <v>14</v>
      </c>
      <c r="E15" s="30">
        <f>10/1000</f>
        <v>0.01</v>
      </c>
      <c r="F15" s="35" t="s">
        <v>33</v>
      </c>
      <c r="G15" s="36" t="s">
        <v>68</v>
      </c>
      <c r="H15" s="37">
        <v>1.8463603333333334</v>
      </c>
      <c r="I15" s="3">
        <f>H15*$E15</f>
        <v>1.8463603333333335E-2</v>
      </c>
      <c r="J15" s="37">
        <v>2.1226551076579899E-6</v>
      </c>
      <c r="K15" s="3">
        <f t="shared" ref="K15:M15" si="10">J15*$E15</f>
        <v>2.1226551076579899E-8</v>
      </c>
      <c r="L15" s="37">
        <v>0.504720770288</v>
      </c>
      <c r="M15" s="3">
        <f t="shared" si="10"/>
        <v>5.0472077028800005E-3</v>
      </c>
      <c r="O15" s="39"/>
    </row>
    <row r="16" spans="1:15" s="2" customFormat="1" ht="15" thickBot="1" x14ac:dyDescent="0.4">
      <c r="A16" s="8"/>
      <c r="B16" s="8"/>
      <c r="C16" s="8" t="s">
        <v>5</v>
      </c>
      <c r="G16" s="12"/>
      <c r="I16" s="2">
        <f>SUM(I17:I18)</f>
        <v>1.8628432533333336E-2</v>
      </c>
      <c r="K16" s="2">
        <f t="shared" ref="K16:M16" si="11">SUM(K17:K18)</f>
        <v>2.2681959240829838E-8</v>
      </c>
      <c r="M16" s="2">
        <f t="shared" si="11"/>
        <v>6.4894017040400002E-4</v>
      </c>
    </row>
    <row r="17" spans="1:13" ht="15" thickBot="1" x14ac:dyDescent="0.4">
      <c r="A17" s="7"/>
      <c r="B17" s="7"/>
      <c r="C17" s="7"/>
      <c r="D17" s="31" t="s">
        <v>16</v>
      </c>
      <c r="E17" s="31">
        <f>4/1000</f>
        <v>4.0000000000000001E-3</v>
      </c>
      <c r="F17" s="38" t="s">
        <v>33</v>
      </c>
      <c r="G17" s="33" t="s">
        <v>69</v>
      </c>
      <c r="H17" s="34">
        <v>3.8942194000000003</v>
      </c>
      <c r="I17">
        <f>H17*$E17</f>
        <v>1.5576877600000002E-2</v>
      </c>
      <c r="J17" s="34">
        <v>4.4076873467259595E-6</v>
      </c>
      <c r="K17">
        <f t="shared" ref="K17:M18" si="12">J17*$E17</f>
        <v>1.7630749386903839E-8</v>
      </c>
      <c r="L17" s="34">
        <v>9.0855239000000004E-2</v>
      </c>
      <c r="M17">
        <f t="shared" si="12"/>
        <v>3.6342095600000002E-4</v>
      </c>
    </row>
    <row r="18" spans="1:13" ht="15" thickBot="1" x14ac:dyDescent="0.4">
      <c r="A18" s="7"/>
      <c r="B18" s="7"/>
      <c r="C18" s="7"/>
      <c r="D18" s="31" t="s">
        <v>17</v>
      </c>
      <c r="E18" s="31">
        <f>4/1000</f>
        <v>4.0000000000000001E-3</v>
      </c>
      <c r="F18" s="38" t="s">
        <v>33</v>
      </c>
      <c r="G18" s="33" t="s">
        <v>63</v>
      </c>
      <c r="H18" s="34">
        <v>0.76288873333333329</v>
      </c>
      <c r="I18">
        <f>H18*$E18</f>
        <v>3.0515549333333331E-3</v>
      </c>
      <c r="J18" s="34">
        <v>1.2628024634814998E-6</v>
      </c>
      <c r="K18">
        <f t="shared" si="12"/>
        <v>5.0512098539259993E-9</v>
      </c>
      <c r="L18" s="34">
        <v>7.1379803601000005E-2</v>
      </c>
      <c r="M18">
        <f t="shared" si="12"/>
        <v>2.8551921440400001E-4</v>
      </c>
    </row>
    <row r="19" spans="1:13" s="2" customFormat="1" ht="15" thickBot="1" x14ac:dyDescent="0.4">
      <c r="A19" s="8"/>
      <c r="B19" s="8"/>
      <c r="C19" s="8" t="s">
        <v>6</v>
      </c>
      <c r="G19" s="12"/>
      <c r="I19" s="2">
        <f>SUM(I20)</f>
        <v>1.6228098E-2</v>
      </c>
      <c r="K19" s="2">
        <f t="shared" ref="K19:M19" si="13">SUM(K20)</f>
        <v>2.0832832128234E-8</v>
      </c>
      <c r="M19" s="2">
        <f t="shared" si="13"/>
        <v>3.2121259834529997E-3</v>
      </c>
    </row>
    <row r="20" spans="1:13" ht="15" thickBot="1" x14ac:dyDescent="0.4">
      <c r="A20" s="7"/>
      <c r="B20" s="7"/>
      <c r="C20" s="7"/>
      <c r="D20" s="29" t="s">
        <v>18</v>
      </c>
      <c r="E20" s="29">
        <f>15/1000</f>
        <v>1.4999999999999999E-2</v>
      </c>
      <c r="F20" s="32" t="s">
        <v>33</v>
      </c>
      <c r="G20" s="33" t="s">
        <v>70</v>
      </c>
      <c r="H20" s="34">
        <v>1.0818732</v>
      </c>
      <c r="I20">
        <f>H20*$E20</f>
        <v>1.6228098E-2</v>
      </c>
      <c r="J20" s="34">
        <v>1.3888554752156001E-6</v>
      </c>
      <c r="K20">
        <f t="shared" ref="K20:M20" si="14">J20*$E20</f>
        <v>2.0832832128234E-8</v>
      </c>
      <c r="L20" s="34">
        <v>0.2141417322302</v>
      </c>
      <c r="M20">
        <f t="shared" si="14"/>
        <v>3.2121259834529997E-3</v>
      </c>
    </row>
    <row r="21" spans="1:13" s="4" customFormat="1" x14ac:dyDescent="0.35">
      <c r="A21" s="9"/>
      <c r="B21" s="9" t="s">
        <v>20</v>
      </c>
      <c r="C21" s="9"/>
      <c r="G21" s="13"/>
      <c r="I21" s="4">
        <f>SUM(I23:I27)</f>
        <v>4.5460727183999995E-5</v>
      </c>
      <c r="K21" s="4">
        <f>SUM(K23:K27)</f>
        <v>6.8090952835281504E-11</v>
      </c>
      <c r="M21" s="4">
        <f>SUM(M23:M27)</f>
        <v>6.8925176809971994E-6</v>
      </c>
    </row>
    <row r="22" spans="1:13" s="2" customFormat="1" ht="15" thickBot="1" x14ac:dyDescent="0.4">
      <c r="A22" s="8"/>
      <c r="B22" s="8"/>
      <c r="C22" s="8" t="s">
        <v>24</v>
      </c>
      <c r="G22" s="12"/>
    </row>
    <row r="23" spans="1:13" s="3" customFormat="1" ht="15" thickBot="1" x14ac:dyDescent="0.4">
      <c r="A23" s="15"/>
      <c r="B23" s="15"/>
      <c r="C23" s="15"/>
      <c r="D23" s="30" t="s">
        <v>22</v>
      </c>
      <c r="E23" s="30">
        <f>E17*330/1000</f>
        <v>1.32E-3</v>
      </c>
      <c r="F23" s="35" t="s">
        <v>34</v>
      </c>
      <c r="G23" s="36" t="s">
        <v>55</v>
      </c>
      <c r="H23" s="37">
        <v>1.9165274666666666E-2</v>
      </c>
      <c r="I23" s="3">
        <f>H23*$E23</f>
        <v>2.5298162559999997E-5</v>
      </c>
      <c r="J23" s="37">
        <v>3.0730452084717002E-8</v>
      </c>
      <c r="K23" s="3">
        <f t="shared" ref="K23:M27" si="15">J23*$E23</f>
        <v>4.0564196751826442E-11</v>
      </c>
      <c r="L23" s="37">
        <v>3.3946892844999997E-3</v>
      </c>
      <c r="M23" s="3">
        <f t="shared" si="15"/>
        <v>4.4809898555399997E-6</v>
      </c>
    </row>
    <row r="24" spans="1:13" s="2" customFormat="1" ht="15" thickBot="1" x14ac:dyDescent="0.4">
      <c r="A24" s="8"/>
      <c r="B24" s="8"/>
      <c r="C24" s="8" t="s">
        <v>25</v>
      </c>
      <c r="G24" s="12"/>
    </row>
    <row r="25" spans="1:13" s="3" customFormat="1" ht="15" thickBot="1" x14ac:dyDescent="0.4">
      <c r="A25" s="15"/>
      <c r="B25" s="15"/>
      <c r="C25" s="15"/>
      <c r="D25" s="30" t="s">
        <v>23</v>
      </c>
      <c r="E25" s="30">
        <f>E17*251/1000</f>
        <v>1.0039999999999999E-3</v>
      </c>
      <c r="F25" s="35" t="s">
        <v>34</v>
      </c>
      <c r="G25" s="36" t="s">
        <v>56</v>
      </c>
      <c r="H25" s="37">
        <v>9.0106626666666672E-3</v>
      </c>
      <c r="I25" s="3">
        <f>H25*$E25</f>
        <v>9.0467053173333327E-6</v>
      </c>
      <c r="J25" s="37">
        <v>9.6644361298000002E-9</v>
      </c>
      <c r="K25" s="3">
        <f t="shared" si="15"/>
        <v>9.7030938743191991E-12</v>
      </c>
      <c r="L25" s="37">
        <v>4.4084466179999997E-4</v>
      </c>
      <c r="M25" s="3">
        <f t="shared" si="15"/>
        <v>4.4260804044719994E-7</v>
      </c>
    </row>
    <row r="26" spans="1:13" s="2" customFormat="1" ht="15" thickBot="1" x14ac:dyDescent="0.4">
      <c r="A26" s="8"/>
      <c r="B26" s="8"/>
      <c r="C26" s="8" t="s">
        <v>26</v>
      </c>
      <c r="G26" s="12"/>
    </row>
    <row r="27" spans="1:13" s="3" customFormat="1" ht="15" thickBot="1" x14ac:dyDescent="0.4">
      <c r="A27" s="15"/>
      <c r="B27" s="15"/>
      <c r="C27" s="15"/>
      <c r="D27" s="30" t="s">
        <v>22</v>
      </c>
      <c r="E27" s="30">
        <f>E17*145/1000</f>
        <v>5.8E-4</v>
      </c>
      <c r="F27" s="35" t="s">
        <v>34</v>
      </c>
      <c r="G27" s="36" t="s">
        <v>55</v>
      </c>
      <c r="H27" s="37">
        <v>1.9165274666666666E-2</v>
      </c>
      <c r="I27" s="3">
        <f>H27*$E27</f>
        <v>1.1115859306666667E-5</v>
      </c>
      <c r="J27" s="37">
        <v>3.0730452084717002E-8</v>
      </c>
      <c r="K27" s="3">
        <f t="shared" si="15"/>
        <v>1.7823662209135861E-11</v>
      </c>
      <c r="L27" s="37">
        <v>3.3946892844999997E-3</v>
      </c>
      <c r="M27" s="3">
        <f t="shared" si="15"/>
        <v>1.9689197850100001E-6</v>
      </c>
    </row>
    <row r="28" spans="1:13" s="4" customFormat="1" x14ac:dyDescent="0.35">
      <c r="A28" s="9"/>
      <c r="B28" s="9" t="s">
        <v>72</v>
      </c>
      <c r="C28" s="9"/>
      <c r="G28" s="13"/>
      <c r="I28" s="4">
        <f>I29</f>
        <v>4.1371800666666672E-4</v>
      </c>
      <c r="K28" s="4">
        <f t="shared" ref="K28:M29" si="16">K29</f>
        <v>7.5808830355699998E-10</v>
      </c>
      <c r="M28" s="4">
        <f t="shared" si="16"/>
        <v>4.7686052504000005E-5</v>
      </c>
    </row>
    <row r="29" spans="1:13" s="2" customFormat="1" ht="15" thickBot="1" x14ac:dyDescent="0.4">
      <c r="A29" s="8"/>
      <c r="B29" s="8"/>
      <c r="C29" s="8" t="s">
        <v>58</v>
      </c>
      <c r="G29" s="12"/>
      <c r="I29" s="2">
        <f>I30</f>
        <v>4.1371800666666672E-4</v>
      </c>
      <c r="K29" s="2">
        <f t="shared" si="16"/>
        <v>7.5808830355699998E-10</v>
      </c>
      <c r="M29" s="2">
        <f t="shared" si="16"/>
        <v>4.7686052504000005E-5</v>
      </c>
    </row>
    <row r="30" spans="1:13" ht="15" thickBot="1" x14ac:dyDescent="0.4">
      <c r="A30" s="7"/>
      <c r="B30" s="7"/>
      <c r="C30" s="7"/>
      <c r="D30" s="29" t="s">
        <v>59</v>
      </c>
      <c r="E30" s="30">
        <f>1*(E7+E10+E13+E15+E17+E20)</f>
        <v>3.4000000000000002E-2</v>
      </c>
      <c r="F30" s="32" t="s">
        <v>19</v>
      </c>
      <c r="G30" s="33" t="s">
        <v>57</v>
      </c>
      <c r="H30" s="34">
        <v>1.2168176666666667E-2</v>
      </c>
      <c r="I30">
        <f>H30*$E30</f>
        <v>4.1371800666666672E-4</v>
      </c>
      <c r="J30" s="34">
        <v>2.2296714810499999E-8</v>
      </c>
      <c r="K30">
        <f t="shared" ref="K30:M30" si="17">J30*$E30</f>
        <v>7.5808830355699998E-10</v>
      </c>
      <c r="L30" s="34">
        <v>1.402530956E-3</v>
      </c>
      <c r="M30">
        <f t="shared" si="17"/>
        <v>4.7686052504000005E-5</v>
      </c>
    </row>
    <row r="31" spans="1:13" s="4" customFormat="1" x14ac:dyDescent="0.35">
      <c r="A31" s="9"/>
      <c r="B31" s="9" t="s">
        <v>21</v>
      </c>
      <c r="C31" s="9"/>
      <c r="G31" s="13"/>
      <c r="I31" s="4">
        <f>I32</f>
        <v>5.2572221333333337E-4</v>
      </c>
      <c r="K31" s="4">
        <f t="shared" ref="K31:M32" si="18">K32</f>
        <v>5.6845122550540003E-10</v>
      </c>
      <c r="M31" s="4">
        <f t="shared" si="18"/>
        <v>7.8986825841800007E-5</v>
      </c>
    </row>
    <row r="32" spans="1:13" s="2" customFormat="1" ht="15" thickBot="1" x14ac:dyDescent="0.4">
      <c r="A32" s="8"/>
      <c r="B32" s="8"/>
      <c r="C32" s="8" t="s">
        <v>62</v>
      </c>
      <c r="G32" s="12"/>
      <c r="I32" s="2">
        <f>I33</f>
        <v>5.2572221333333337E-4</v>
      </c>
      <c r="K32" s="2">
        <f t="shared" si="18"/>
        <v>5.6845122550540003E-10</v>
      </c>
      <c r="M32" s="2">
        <f t="shared" si="18"/>
        <v>7.8986825841800007E-5</v>
      </c>
    </row>
    <row r="33" spans="1:13" ht="15" thickBot="1" x14ac:dyDescent="0.4">
      <c r="A33" s="7"/>
      <c r="B33" s="7"/>
      <c r="C33" s="7"/>
      <c r="D33" s="29" t="s">
        <v>27</v>
      </c>
      <c r="E33" s="30">
        <f>20/10000</f>
        <v>2E-3</v>
      </c>
      <c r="F33" s="32" t="s">
        <v>61</v>
      </c>
      <c r="G33" s="33" t="s">
        <v>60</v>
      </c>
      <c r="H33" s="34">
        <v>0.26286110666666668</v>
      </c>
      <c r="I33">
        <f>H33*$E33</f>
        <v>5.2572221333333337E-4</v>
      </c>
      <c r="J33" s="34">
        <v>2.8422561275270002E-7</v>
      </c>
      <c r="K33">
        <f t="shared" ref="K33:M33" si="19">J33*$E33</f>
        <v>5.6845122550540003E-10</v>
      </c>
      <c r="L33" s="34">
        <v>3.9493412920900001E-2</v>
      </c>
      <c r="M33">
        <f t="shared" si="19"/>
        <v>7.8986825841800007E-5</v>
      </c>
    </row>
    <row r="34" spans="1:13" s="4" customFormat="1" x14ac:dyDescent="0.35">
      <c r="A34" s="9"/>
      <c r="B34" s="9" t="s">
        <v>28</v>
      </c>
      <c r="C34" s="9"/>
      <c r="G34" s="13"/>
      <c r="I34" s="4">
        <f>I35</f>
        <v>0</v>
      </c>
      <c r="K34" s="4">
        <f t="shared" ref="K34:M35" si="20">K35</f>
        <v>2.1809999999999998E-9</v>
      </c>
      <c r="M34" s="4">
        <f t="shared" si="20"/>
        <v>0</v>
      </c>
    </row>
    <row r="35" spans="1:13" s="2" customFormat="1" ht="15" thickBot="1" x14ac:dyDescent="0.4">
      <c r="A35" s="8"/>
      <c r="B35" s="8"/>
      <c r="C35" s="8" t="s">
        <v>30</v>
      </c>
      <c r="G35" s="12"/>
      <c r="I35" s="2">
        <f>I36</f>
        <v>0</v>
      </c>
      <c r="K35" s="2">
        <f t="shared" si="20"/>
        <v>2.1809999999999998E-9</v>
      </c>
      <c r="M35" s="2">
        <f t="shared" si="20"/>
        <v>0</v>
      </c>
    </row>
    <row r="36" spans="1:13" ht="15" thickBot="1" x14ac:dyDescent="0.4">
      <c r="A36" s="7"/>
      <c r="B36" s="7"/>
      <c r="C36" s="7"/>
      <c r="D36" s="29" t="s">
        <v>29</v>
      </c>
      <c r="E36" s="30">
        <f>E20</f>
        <v>1.4999999999999999E-2</v>
      </c>
      <c r="F36" s="35" t="s">
        <v>33</v>
      </c>
      <c r="G36" s="33" t="s">
        <v>71</v>
      </c>
      <c r="H36" s="34">
        <v>0</v>
      </c>
      <c r="I36">
        <f>H36*$E36</f>
        <v>0</v>
      </c>
      <c r="J36" s="34">
        <v>1.4539999999999999E-7</v>
      </c>
      <c r="K36">
        <f t="shared" ref="K36:M36" si="21">J36*$E36</f>
        <v>2.1809999999999998E-9</v>
      </c>
      <c r="L36" s="34">
        <v>0</v>
      </c>
      <c r="M36">
        <f t="shared" si="21"/>
        <v>0</v>
      </c>
    </row>
    <row r="37" spans="1:13" s="4" customFormat="1" x14ac:dyDescent="0.35">
      <c r="A37" s="9"/>
      <c r="B37" s="9" t="s">
        <v>31</v>
      </c>
      <c r="C37" s="9"/>
      <c r="G37" s="13"/>
      <c r="I37" s="4">
        <f>SUM(I38,I40,I44)</f>
        <v>-9.9669981888400021E-3</v>
      </c>
      <c r="K37" s="4">
        <f>SUM(K38,K40,K44)</f>
        <v>-2.1874267734191648E-4</v>
      </c>
      <c r="M37" s="4">
        <f>SUM(M38,M40,M44)</f>
        <v>-3.2179257489124003E-4</v>
      </c>
    </row>
    <row r="38" spans="1:13" s="2" customFormat="1" ht="15" thickBot="1" x14ac:dyDescent="0.4">
      <c r="A38" s="8"/>
      <c r="B38" s="8"/>
      <c r="C38" s="8" t="s">
        <v>39</v>
      </c>
      <c r="G38" s="12"/>
      <c r="I38" s="2">
        <f>SUM(I39:I39)</f>
        <v>5.7723578266666676E-6</v>
      </c>
      <c r="K38" s="2">
        <f>SUM(K39:K39)</f>
        <v>9.9987162819952313E-12</v>
      </c>
      <c r="M38" s="2">
        <f>SUM(M39:M39)</f>
        <v>6.7678372476000006E-7</v>
      </c>
    </row>
    <row r="39" spans="1:13" ht="15" thickBot="1" x14ac:dyDescent="0.4">
      <c r="A39" s="7"/>
      <c r="B39" s="7"/>
      <c r="C39" s="7"/>
      <c r="D39" s="29" t="s">
        <v>32</v>
      </c>
      <c r="E39" s="29">
        <f>(E7+E10+E13+E15+E17)*10/1000</f>
        <v>1.9000000000000001E-4</v>
      </c>
      <c r="F39" s="32" t="s">
        <v>34</v>
      </c>
      <c r="G39" s="33" t="s">
        <v>52</v>
      </c>
      <c r="H39" s="34">
        <v>3.0380830666666671E-2</v>
      </c>
      <c r="I39">
        <f>H39*$E39</f>
        <v>5.7723578266666676E-6</v>
      </c>
      <c r="J39" s="34">
        <v>5.2624822536817003E-8</v>
      </c>
      <c r="K39">
        <f t="shared" ref="K39:M39" si="22">J39*$E39</f>
        <v>9.9987162819952313E-12</v>
      </c>
      <c r="L39" s="34">
        <v>3.5620196040000002E-3</v>
      </c>
      <c r="M39">
        <f t="shared" si="22"/>
        <v>6.7678372476000006E-7</v>
      </c>
    </row>
    <row r="40" spans="1:13" s="2" customFormat="1" ht="15" thickBot="1" x14ac:dyDescent="0.4">
      <c r="A40" s="8"/>
      <c r="B40" s="8"/>
      <c r="C40" s="8" t="s">
        <v>49</v>
      </c>
      <c r="G40" s="12"/>
      <c r="I40" s="2">
        <f>SUM(I41:I43)</f>
        <v>1.5790474533333336E-3</v>
      </c>
      <c r="K40" s="2">
        <f>SUM(K41:K43)</f>
        <v>1.5134593672485003E-9</v>
      </c>
      <c r="M40" s="2">
        <f>SUM(M41:M43)</f>
        <v>-3.2296973784400003E-4</v>
      </c>
    </row>
    <row r="41" spans="1:13" ht="15" thickBot="1" x14ac:dyDescent="0.4">
      <c r="A41" s="7"/>
      <c r="B41" s="7"/>
      <c r="C41" s="7"/>
      <c r="D41" s="29" t="s">
        <v>40</v>
      </c>
      <c r="E41" s="29">
        <f>10%*(E7+E10)</f>
        <v>4.0000000000000002E-4</v>
      </c>
      <c r="F41" s="32" t="s">
        <v>33</v>
      </c>
      <c r="G41" s="33" t="s">
        <v>45</v>
      </c>
      <c r="H41" s="34">
        <v>1.1414626000000001</v>
      </c>
      <c r="I41">
        <f t="shared" ref="I41:I42" si="23">H41*$E41</f>
        <v>4.5658504000000008E-4</v>
      </c>
      <c r="J41" s="34">
        <v>1.102414804793E-6</v>
      </c>
      <c r="K41">
        <f t="shared" ref="K41:K42" si="24">J41*$E41</f>
        <v>4.4096592191720004E-10</v>
      </c>
      <c r="L41" s="34">
        <v>-0.29154514250700003</v>
      </c>
      <c r="M41">
        <f t="shared" ref="M41:M42" si="25">L41*$E41</f>
        <v>-1.1661805700280002E-4</v>
      </c>
    </row>
    <row r="42" spans="1:13" ht="15" thickBot="1" x14ac:dyDescent="0.4">
      <c r="A42" s="7"/>
      <c r="B42" s="7"/>
      <c r="C42" s="7"/>
      <c r="D42" s="29" t="s">
        <v>41</v>
      </c>
      <c r="E42" s="29">
        <f>10%*(E13)</f>
        <v>1E-4</v>
      </c>
      <c r="F42" s="32" t="s">
        <v>33</v>
      </c>
      <c r="G42" s="33" t="s">
        <v>46</v>
      </c>
      <c r="H42" s="34">
        <v>1.1810941333333334</v>
      </c>
      <c r="I42">
        <f t="shared" si="23"/>
        <v>1.1810941333333334E-4</v>
      </c>
      <c r="J42" s="34">
        <v>1.1238763089730001E-6</v>
      </c>
      <c r="K42">
        <f t="shared" si="24"/>
        <v>1.1238763089730002E-10</v>
      </c>
      <c r="L42" s="34">
        <v>-0.18802462848199999</v>
      </c>
      <c r="M42">
        <f t="shared" si="25"/>
        <v>-1.88024628482E-5</v>
      </c>
    </row>
    <row r="43" spans="1:13" ht="15" thickBot="1" x14ac:dyDescent="0.4">
      <c r="A43" s="7"/>
      <c r="B43" s="7"/>
      <c r="C43" s="7"/>
      <c r="D43" s="29" t="s">
        <v>42</v>
      </c>
      <c r="E43" s="29">
        <f>10%*(E15)</f>
        <v>1E-3</v>
      </c>
      <c r="F43" s="32" t="s">
        <v>33</v>
      </c>
      <c r="G43" s="33" t="s">
        <v>47</v>
      </c>
      <c r="H43" s="34">
        <v>1.0043530000000001</v>
      </c>
      <c r="I43">
        <f t="shared" ref="I43" si="26">H43*$E43</f>
        <v>1.0043530000000001E-3</v>
      </c>
      <c r="J43" s="34">
        <v>9.6010581443400025E-7</v>
      </c>
      <c r="K43">
        <f t="shared" ref="K43" si="27">J43*$E43</f>
        <v>9.6010581443400019E-10</v>
      </c>
      <c r="L43" s="34">
        <v>-0.18754921799300001</v>
      </c>
      <c r="M43">
        <f t="shared" ref="M43" si="28">L43*$E43</f>
        <v>-1.87549217993E-4</v>
      </c>
    </row>
    <row r="44" spans="1:13" s="2" customFormat="1" ht="15" thickBot="1" x14ac:dyDescent="0.4">
      <c r="A44" s="8"/>
      <c r="B44" s="8"/>
      <c r="C44" s="8" t="s">
        <v>48</v>
      </c>
      <c r="D44" s="8"/>
      <c r="G44" s="12"/>
      <c r="I44" s="2">
        <f>SUM(I45:I45)</f>
        <v>-1.1551818000000002E-2</v>
      </c>
      <c r="K44" s="2">
        <f>SUM(K45:K45)</f>
        <v>-2.1874420080000002E-4</v>
      </c>
      <c r="M44" s="2">
        <f>SUM(M45:M45)</f>
        <v>5.0037922800000004E-7</v>
      </c>
    </row>
    <row r="45" spans="1:13" ht="15" thickBot="1" x14ac:dyDescent="0.4">
      <c r="C45" s="7"/>
      <c r="D45" s="31" t="s">
        <v>43</v>
      </c>
      <c r="E45" s="31">
        <f>90%*E17</f>
        <v>3.6000000000000003E-3</v>
      </c>
      <c r="F45" s="38" t="s">
        <v>33</v>
      </c>
      <c r="G45" s="33" t="s">
        <v>44</v>
      </c>
      <c r="H45" s="34">
        <v>-3.2088383333333335</v>
      </c>
      <c r="I45">
        <f>H45*$E45</f>
        <v>-1.1551818000000002E-2</v>
      </c>
      <c r="J45" s="34">
        <v>-6.0762278000000003E-2</v>
      </c>
      <c r="K45">
        <f t="shared" ref="K45" si="29">J45*$E45</f>
        <v>-2.1874420080000002E-4</v>
      </c>
      <c r="L45" s="34">
        <v>1.3899423000000001E-4</v>
      </c>
      <c r="M45">
        <f t="shared" ref="M45" si="30">L45*$E45</f>
        <v>5.0037922800000004E-7</v>
      </c>
    </row>
    <row r="48" spans="1:13" hidden="1" x14ac:dyDescent="0.35">
      <c r="D48" t="s">
        <v>93</v>
      </c>
      <c r="E48" t="s">
        <v>53</v>
      </c>
      <c r="F48" t="s">
        <v>54</v>
      </c>
    </row>
    <row r="49" spans="3:6" hidden="1" x14ac:dyDescent="0.35">
      <c r="C49" t="s">
        <v>1</v>
      </c>
      <c r="D49">
        <f>I6</f>
        <v>5.7355269333333337E-3</v>
      </c>
      <c r="E49">
        <f>K6</f>
        <v>7.3921725053000006E-9</v>
      </c>
      <c r="F49">
        <f>M6</f>
        <v>1.779340184898E-3</v>
      </c>
    </row>
    <row r="50" spans="3:6" hidden="1" x14ac:dyDescent="0.35">
      <c r="C50" t="s">
        <v>2</v>
      </c>
      <c r="D50">
        <f>I9</f>
        <v>5.7355269333333337E-3</v>
      </c>
      <c r="E50">
        <f>K9</f>
        <v>7.3921725053000006E-9</v>
      </c>
      <c r="F50">
        <f>M9</f>
        <v>1.779340184898E-3</v>
      </c>
    </row>
    <row r="51" spans="3:6" hidden="1" x14ac:dyDescent="0.35">
      <c r="C51" t="s">
        <v>3</v>
      </c>
      <c r="D51">
        <f>I12</f>
        <v>6.4000000000000003E-3</v>
      </c>
      <c r="E51">
        <f>K12</f>
        <v>9.2260954103999996E-9</v>
      </c>
      <c r="F51">
        <f>M12</f>
        <v>1.4583999999999999E-3</v>
      </c>
    </row>
    <row r="52" spans="3:6" hidden="1" x14ac:dyDescent="0.35">
      <c r="C52" t="s">
        <v>4</v>
      </c>
      <c r="D52">
        <f>I14</f>
        <v>1.8463603333333335E-2</v>
      </c>
      <c r="E52">
        <f>K14</f>
        <v>2.1226551076579899E-8</v>
      </c>
      <c r="F52">
        <f>M14</f>
        <v>5.0472077028800005E-3</v>
      </c>
    </row>
    <row r="53" spans="3:6" hidden="1" x14ac:dyDescent="0.35">
      <c r="C53" t="s">
        <v>73</v>
      </c>
      <c r="D53">
        <f>I16+I21</f>
        <v>1.8673893260517337E-2</v>
      </c>
      <c r="E53">
        <f>K16+K21</f>
        <v>2.2750050193665118E-8</v>
      </c>
      <c r="F53">
        <f>M16+M21</f>
        <v>6.5583268808499726E-4</v>
      </c>
    </row>
    <row r="54" spans="3:6" hidden="1" x14ac:dyDescent="0.35">
      <c r="C54" t="s">
        <v>6</v>
      </c>
      <c r="D54">
        <f>I19</f>
        <v>1.6228098E-2</v>
      </c>
      <c r="E54">
        <f>K19</f>
        <v>2.0832832128234E-8</v>
      </c>
      <c r="F54">
        <f>M19</f>
        <v>3.2121259834529997E-3</v>
      </c>
    </row>
    <row r="55" spans="3:6" hidden="1" x14ac:dyDescent="0.35"/>
    <row r="56" spans="3:6" hidden="1" x14ac:dyDescent="0.35">
      <c r="D56" t="s">
        <v>93</v>
      </c>
      <c r="E56" t="s">
        <v>53</v>
      </c>
      <c r="F56" t="s">
        <v>54</v>
      </c>
    </row>
    <row r="57" spans="3:6" hidden="1" x14ac:dyDescent="0.35">
      <c r="C57" t="s">
        <v>0</v>
      </c>
      <c r="D57">
        <f>I5</f>
        <v>7.1191187733333341E-2</v>
      </c>
      <c r="E57">
        <f>K5</f>
        <v>8.8751782866643735E-8</v>
      </c>
      <c r="F57">
        <f>M5</f>
        <v>1.3925354226533E-2</v>
      </c>
    </row>
    <row r="58" spans="3:6" hidden="1" x14ac:dyDescent="0.35">
      <c r="C58" t="s">
        <v>20</v>
      </c>
      <c r="D58">
        <f>I21</f>
        <v>4.5460727183999995E-5</v>
      </c>
      <c r="E58">
        <f>K21</f>
        <v>6.8090952835281504E-11</v>
      </c>
      <c r="F58">
        <f>M21</f>
        <v>6.8925176809971994E-6</v>
      </c>
    </row>
    <row r="59" spans="3:6" hidden="1" x14ac:dyDescent="0.35">
      <c r="C59" t="s">
        <v>74</v>
      </c>
      <c r="D59">
        <f>I28</f>
        <v>4.1371800666666672E-4</v>
      </c>
      <c r="E59">
        <f>K28</f>
        <v>7.5808830355699998E-10</v>
      </c>
      <c r="F59">
        <f>M28</f>
        <v>4.7686052504000005E-5</v>
      </c>
    </row>
    <row r="60" spans="3:6" hidden="1" x14ac:dyDescent="0.35">
      <c r="C60" t="s">
        <v>78</v>
      </c>
      <c r="D60">
        <f>SUM(D57:D59)</f>
        <v>7.1650366467184007E-2</v>
      </c>
      <c r="E60">
        <f t="shared" ref="E60:F60" si="31">SUM(E57:E59)</f>
        <v>8.9577962123036013E-8</v>
      </c>
      <c r="F60">
        <f t="shared" si="31"/>
        <v>1.3979932796717996E-2</v>
      </c>
    </row>
    <row r="61" spans="3:6" hidden="1" x14ac:dyDescent="0.35"/>
    <row r="62" spans="3:6" hidden="1" x14ac:dyDescent="0.35">
      <c r="D62" t="s">
        <v>93</v>
      </c>
      <c r="E62" t="s">
        <v>53</v>
      </c>
      <c r="F62" t="s">
        <v>54</v>
      </c>
    </row>
    <row r="63" spans="3:6" hidden="1" x14ac:dyDescent="0.35">
      <c r="C63" t="s">
        <v>75</v>
      </c>
      <c r="D63">
        <f>D60</f>
        <v>7.1650366467184007E-2</v>
      </c>
      <c r="E63">
        <f>E60</f>
        <v>8.9577962123036013E-8</v>
      </c>
      <c r="F63">
        <f t="shared" ref="F63" si="32">F60</f>
        <v>1.3979932796717996E-2</v>
      </c>
    </row>
    <row r="64" spans="3:6" hidden="1" x14ac:dyDescent="0.35">
      <c r="C64" t="s">
        <v>76</v>
      </c>
      <c r="D64">
        <f>I31</f>
        <v>5.2572221333333337E-4</v>
      </c>
      <c r="E64">
        <f>K31</f>
        <v>5.6845122550540003E-10</v>
      </c>
      <c r="F64">
        <f>M31</f>
        <v>7.8986825841800007E-5</v>
      </c>
    </row>
    <row r="65" spans="3:6" hidden="1" x14ac:dyDescent="0.35">
      <c r="C65" t="s">
        <v>28</v>
      </c>
      <c r="D65">
        <f>I34</f>
        <v>0</v>
      </c>
      <c r="E65">
        <f>K34</f>
        <v>2.1809999999999998E-9</v>
      </c>
      <c r="F65">
        <f>M34</f>
        <v>0</v>
      </c>
    </row>
    <row r="66" spans="3:6" hidden="1" x14ac:dyDescent="0.35">
      <c r="C66" t="s">
        <v>31</v>
      </c>
      <c r="D66">
        <f>I37</f>
        <v>-9.9669981888400021E-3</v>
      </c>
      <c r="E66">
        <f>K37</f>
        <v>-2.1874267734191648E-4</v>
      </c>
      <c r="F66">
        <f>M37</f>
        <v>-3.2179257489124003E-4</v>
      </c>
    </row>
    <row r="67" spans="3:6" hidden="1" x14ac:dyDescent="0.35">
      <c r="C67" t="s">
        <v>77</v>
      </c>
      <c r="D67">
        <f>SUM(D63:D66)</f>
        <v>6.2209090491677332E-2</v>
      </c>
      <c r="E67">
        <f t="shared" ref="E67:F67" si="33">SUM(E63:E66)</f>
        <v>-2.1865034992856795E-4</v>
      </c>
      <c r="F67">
        <f t="shared" si="33"/>
        <v>1.3737127047668557E-2</v>
      </c>
    </row>
  </sheetData>
  <mergeCells count="3">
    <mergeCell ref="H2:I2"/>
    <mergeCell ref="J2:K2"/>
    <mergeCell ref="L2:M2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4A37D-F562-4576-9761-56D90026DADB}">
  <dimension ref="B4:E7"/>
  <sheetViews>
    <sheetView workbookViewId="0"/>
  </sheetViews>
  <sheetFormatPr baseColWidth="10" defaultRowHeight="14.5" x14ac:dyDescent="0.35"/>
  <cols>
    <col min="1" max="1" width="10.90625" style="5"/>
    <col min="2" max="2" width="10.90625" style="10"/>
    <col min="3" max="3" width="23.6328125" style="5" customWidth="1"/>
    <col min="4" max="4" width="21.08984375" style="5" customWidth="1"/>
    <col min="5" max="5" width="16.54296875" style="5" customWidth="1"/>
    <col min="6" max="16384" width="10.90625" style="5"/>
  </cols>
  <sheetData>
    <row r="4" spans="2:5" s="10" customFormat="1" ht="29" x14ac:dyDescent="0.35">
      <c r="B4" s="17"/>
      <c r="C4" s="17" t="s">
        <v>93</v>
      </c>
      <c r="D4" s="17" t="s">
        <v>53</v>
      </c>
      <c r="E4" s="17" t="s">
        <v>54</v>
      </c>
    </row>
    <row r="5" spans="2:5" x14ac:dyDescent="0.35">
      <c r="B5" s="17" t="s">
        <v>79</v>
      </c>
      <c r="C5" s="21">
        <f>'Synthèse par scénario'!C53</f>
        <v>9.841113679280665E-2</v>
      </c>
      <c r="D5" s="21">
        <f>'Synthèse par scénario'!D53</f>
        <v>1.2553504932743518E-7</v>
      </c>
      <c r="E5" s="21">
        <f>'Synthèse par scénario'!E53</f>
        <v>2.6790481708910737E-2</v>
      </c>
    </row>
    <row r="6" spans="2:5" x14ac:dyDescent="0.35">
      <c r="B6" s="17" t="s">
        <v>80</v>
      </c>
      <c r="C6" s="21">
        <f>'Synthèse par scénario'!I53</f>
        <v>7.7732199692806647E-2</v>
      </c>
      <c r="D6" s="21">
        <f>'Synthèse par scénario'!J53</f>
        <v>9.346296030222413E-8</v>
      </c>
      <c r="E6" s="21">
        <f>'Synthèse par scénario'!K53</f>
        <v>1.4728194693940239E-2</v>
      </c>
    </row>
    <row r="7" spans="2:5" x14ac:dyDescent="0.35">
      <c r="B7" s="17" t="s">
        <v>81</v>
      </c>
      <c r="C7" s="21">
        <f>'Synthèse par scénario'!N53</f>
        <v>6.2209090491677332E-2</v>
      </c>
      <c r="D7" s="21">
        <f>'Synthèse par scénario'!O53</f>
        <v>-2.1865034992856795E-4</v>
      </c>
      <c r="E7" s="21">
        <f>'Synthèse par scénario'!P53</f>
        <v>1.3737127047668557E-2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8A68-6B10-48F5-9FE1-AD6430B02DFE}">
  <dimension ref="B2:P53"/>
  <sheetViews>
    <sheetView zoomScale="60" zoomScaleNormal="60" workbookViewId="0"/>
  </sheetViews>
  <sheetFormatPr baseColWidth="10" defaultRowHeight="14.5" x14ac:dyDescent="0.35"/>
  <cols>
    <col min="1" max="1" width="10.90625" style="5"/>
    <col min="2" max="2" width="17.1796875" style="10" customWidth="1"/>
    <col min="3" max="5" width="21.6328125" style="5" customWidth="1"/>
    <col min="6" max="7" width="14.36328125" style="5" customWidth="1"/>
    <col min="8" max="8" width="18.6328125" style="10" customWidth="1"/>
    <col min="9" max="11" width="21.6328125" style="5" customWidth="1"/>
    <col min="12" max="12" width="14.36328125" style="5" customWidth="1"/>
    <col min="13" max="13" width="19.81640625" style="5" customWidth="1"/>
    <col min="14" max="16" width="21.6328125" style="5" customWidth="1"/>
    <col min="17" max="16384" width="10.90625" style="5"/>
  </cols>
  <sheetData>
    <row r="2" spans="2:16" s="20" customFormat="1" ht="31" x14ac:dyDescent="0.7">
      <c r="B2" s="48" t="s">
        <v>79</v>
      </c>
      <c r="C2" s="48"/>
      <c r="D2" s="48"/>
      <c r="E2" s="48"/>
      <c r="H2" s="48" t="s">
        <v>80</v>
      </c>
      <c r="I2" s="48"/>
      <c r="J2" s="48"/>
      <c r="K2" s="48"/>
      <c r="M2" s="48" t="s">
        <v>81</v>
      </c>
      <c r="N2" s="48"/>
      <c r="O2" s="48"/>
      <c r="P2" s="48"/>
    </row>
    <row r="4" spans="2:16" s="16" customFormat="1" ht="40.5" customHeight="1" x14ac:dyDescent="0.35">
      <c r="B4" s="17"/>
      <c r="C4" s="17" t="str">
        <f>'Scénario 1'!D48</f>
        <v>Réchauffement climatique en kg CO2 eq</v>
      </c>
      <c r="D4" s="17" t="str">
        <f>'Scénario 1'!E48</f>
        <v>Epuisement des ressources en USD2013</v>
      </c>
      <c r="E4" s="17" t="str">
        <f>'Scénario 1'!F48</f>
        <v>Santé humaine en DALY</v>
      </c>
      <c r="H4" s="17"/>
      <c r="I4" s="17" t="str">
        <f>'Scénario 2'!D48</f>
        <v>Réchauffement climatique en kg CO2 eq</v>
      </c>
      <c r="J4" s="17" t="str">
        <f>'Scénario 2'!E48</f>
        <v>Epuisement des ressources en USD2013</v>
      </c>
      <c r="K4" s="17" t="str">
        <f>'Scénario 2'!F48</f>
        <v>Santé humaine en DALY</v>
      </c>
      <c r="M4" s="17"/>
      <c r="N4" s="17" t="str">
        <f>'Scénario 3'!D48</f>
        <v>Réchauffement climatique en kg CO2 eq</v>
      </c>
      <c r="O4" s="17" t="str">
        <f>'Scénario 3'!E48</f>
        <v>Epuisement des ressources en USD2013</v>
      </c>
      <c r="P4" s="17" t="str">
        <f>'Scénario 3'!F48</f>
        <v>Santé humaine en DALY</v>
      </c>
    </row>
    <row r="5" spans="2:16" x14ac:dyDescent="0.35">
      <c r="B5" s="18" t="str">
        <f>'Scénario 1'!C49</f>
        <v>Capuchon</v>
      </c>
      <c r="C5" s="19">
        <f>'Scénario 1'!D49</f>
        <v>5.7355269333333337E-3</v>
      </c>
      <c r="D5" s="19">
        <f>'Scénario 1'!E49</f>
        <v>7.3921725053000006E-9</v>
      </c>
      <c r="E5" s="19">
        <f>'Scénario 1'!F49</f>
        <v>1.779340184898E-3</v>
      </c>
      <c r="H5" s="18" t="str">
        <f>'Scénario 2'!C49</f>
        <v>Capuchon</v>
      </c>
      <c r="I5" s="19">
        <f>'Scénario 2'!D49</f>
        <v>5.7355269333333337E-3</v>
      </c>
      <c r="J5" s="19">
        <f>'Scénario 2'!E49</f>
        <v>7.3921725053000006E-9</v>
      </c>
      <c r="K5" s="19">
        <f>'Scénario 2'!F49</f>
        <v>1.779340184898E-3</v>
      </c>
      <c r="M5" s="19" t="str">
        <f>'Scénario 3'!C49</f>
        <v>Capuchon</v>
      </c>
      <c r="N5" s="19">
        <f>'Scénario 3'!D49</f>
        <v>5.7355269333333337E-3</v>
      </c>
      <c r="O5" s="19">
        <f>'Scénario 3'!E49</f>
        <v>7.3921725053000006E-9</v>
      </c>
      <c r="P5" s="19">
        <f>'Scénario 3'!F49</f>
        <v>1.779340184898E-3</v>
      </c>
    </row>
    <row r="6" spans="2:16" x14ac:dyDescent="0.35">
      <c r="B6" s="18" t="str">
        <f>'Scénario 1'!C50</f>
        <v>Support feutre</v>
      </c>
      <c r="C6" s="19">
        <f>'Scénario 1'!D50</f>
        <v>5.7355269333333337E-3</v>
      </c>
      <c r="D6" s="19">
        <f>'Scénario 1'!E50</f>
        <v>7.3921725053000006E-9</v>
      </c>
      <c r="E6" s="19">
        <f>'Scénario 1'!F50</f>
        <v>1.779340184898E-3</v>
      </c>
      <c r="H6" s="18" t="str">
        <f>'Scénario 2'!C50</f>
        <v>Support feutre</v>
      </c>
      <c r="I6" s="19">
        <f>'Scénario 2'!D50</f>
        <v>5.7355269333333337E-3</v>
      </c>
      <c r="J6" s="19">
        <f>'Scénario 2'!E50</f>
        <v>7.3921725053000006E-9</v>
      </c>
      <c r="K6" s="19">
        <f>'Scénario 2'!F50</f>
        <v>1.779340184898E-3</v>
      </c>
      <c r="M6" s="19" t="str">
        <f>'Scénario 3'!C50</f>
        <v>Support feutre</v>
      </c>
      <c r="N6" s="19">
        <f>'Scénario 3'!D50</f>
        <v>5.7355269333333337E-3</v>
      </c>
      <c r="O6" s="19">
        <f>'Scénario 3'!E50</f>
        <v>7.3921725053000006E-9</v>
      </c>
      <c r="P6" s="19">
        <f>'Scénario 3'!F50</f>
        <v>1.779340184898E-3</v>
      </c>
    </row>
    <row r="7" spans="2:16" x14ac:dyDescent="0.35">
      <c r="B7" s="18" t="str">
        <f>'Scénario 1'!C51</f>
        <v>Feutre</v>
      </c>
      <c r="C7" s="19">
        <f>'Scénario 1'!D51</f>
        <v>6.4000000000000003E-3</v>
      </c>
      <c r="D7" s="19">
        <f>'Scénario 1'!E51</f>
        <v>9.2260954103999996E-9</v>
      </c>
      <c r="E7" s="19">
        <f>'Scénario 1'!F51</f>
        <v>1.4583999999999999E-3</v>
      </c>
      <c r="H7" s="18" t="str">
        <f>'Scénario 2'!C51</f>
        <v>Feutre</v>
      </c>
      <c r="I7" s="19">
        <f>'Scénario 2'!D51</f>
        <v>6.4000000000000003E-3</v>
      </c>
      <c r="J7" s="19">
        <f>'Scénario 2'!E51</f>
        <v>9.2260954103999996E-9</v>
      </c>
      <c r="K7" s="19">
        <f>'Scénario 2'!F51</f>
        <v>1.4583999999999999E-3</v>
      </c>
      <c r="M7" s="19" t="str">
        <f>'Scénario 3'!C51</f>
        <v>Feutre</v>
      </c>
      <c r="N7" s="19">
        <f>'Scénario 3'!D51</f>
        <v>6.4000000000000003E-3</v>
      </c>
      <c r="O7" s="19">
        <f>'Scénario 3'!E51</f>
        <v>9.2260954103999996E-9</v>
      </c>
      <c r="P7" s="19">
        <f>'Scénario 3'!F51</f>
        <v>1.4583999999999999E-3</v>
      </c>
    </row>
    <row r="8" spans="2:16" x14ac:dyDescent="0.35">
      <c r="B8" s="18" t="str">
        <f>'Scénario 1'!C52</f>
        <v>Cartouche feutre</v>
      </c>
      <c r="C8" s="19">
        <f>'Scénario 1'!D52</f>
        <v>1.8463603333333335E-2</v>
      </c>
      <c r="D8" s="19">
        <f>'Scénario 1'!E52</f>
        <v>2.1226551076579899E-8</v>
      </c>
      <c r="E8" s="19">
        <f>'Scénario 1'!F52</f>
        <v>5.0472077028800005E-3</v>
      </c>
      <c r="H8" s="18" t="str">
        <f>'Scénario 2'!C52</f>
        <v>Cartouche feutre</v>
      </c>
      <c r="I8" s="19">
        <f>'Scénario 2'!D52</f>
        <v>1.8463603333333335E-2</v>
      </c>
      <c r="J8" s="19">
        <f>'Scénario 2'!E52</f>
        <v>2.1226551076579899E-8</v>
      </c>
      <c r="K8" s="19">
        <f>'Scénario 2'!F52</f>
        <v>5.0472077028800005E-3</v>
      </c>
      <c r="M8" s="19" t="str">
        <f>'Scénario 3'!C52</f>
        <v>Cartouche feutre</v>
      </c>
      <c r="N8" s="19">
        <f>'Scénario 3'!D52</f>
        <v>1.8463603333333335E-2</v>
      </c>
      <c r="O8" s="19">
        <f>'Scénario 3'!E52</f>
        <v>2.1226551076579899E-8</v>
      </c>
      <c r="P8" s="19">
        <f>'Scénario 3'!F52</f>
        <v>5.0472077028800005E-3</v>
      </c>
    </row>
    <row r="9" spans="2:16" ht="29" x14ac:dyDescent="0.35">
      <c r="B9" s="18" t="str">
        <f>'Scénario 1'!C53</f>
        <v>Corps (transport inclus)</v>
      </c>
      <c r="C9" s="19">
        <f>'Scénario 1'!D53</f>
        <v>4.3186929726940007E-2</v>
      </c>
      <c r="D9" s="19">
        <f>'Scénario 1'!E53</f>
        <v>5.5696634862882298E-8</v>
      </c>
      <c r="E9" s="19">
        <f>'Scénario 1'!F53</f>
        <v>1.3370898328038739E-2</v>
      </c>
      <c r="H9" s="18" t="str">
        <f>'Scénario 2'!C53</f>
        <v>Corps (transport inclus)</v>
      </c>
      <c r="I9" s="19">
        <f>'Scénario 2'!D53</f>
        <v>2.2507992626940001E-2</v>
      </c>
      <c r="J9" s="19">
        <f>'Scénario 2'!E53</f>
        <v>2.3624545837671306E-8</v>
      </c>
      <c r="K9" s="19">
        <f>'Scénario 2'!F53</f>
        <v>1.3086113130682394E-3</v>
      </c>
      <c r="M9" s="19" t="str">
        <f>'Scénario 3'!C53</f>
        <v>Corps (transport inclus)</v>
      </c>
      <c r="N9" s="19">
        <f>'Scénario 3'!D53</f>
        <v>1.8673893260517337E-2</v>
      </c>
      <c r="O9" s="19">
        <f>'Scénario 3'!E53</f>
        <v>2.2750050193665118E-8</v>
      </c>
      <c r="P9" s="19">
        <f>'Scénario 3'!F53</f>
        <v>6.5583268808499726E-4</v>
      </c>
    </row>
    <row r="10" spans="2:16" x14ac:dyDescent="0.35">
      <c r="B10" s="18" t="str">
        <f>'Scénario 1'!C54</f>
        <v>Encre</v>
      </c>
      <c r="C10" s="19">
        <f>'Scénario 1'!D54</f>
        <v>1.6228098E-2</v>
      </c>
      <c r="D10" s="19">
        <f>'Scénario 1'!E54</f>
        <v>2.0832832128234E-8</v>
      </c>
      <c r="E10" s="19">
        <f>'Scénario 1'!F54</f>
        <v>3.2121259834529997E-3</v>
      </c>
      <c r="H10" s="18" t="str">
        <f>'Scénario 2'!C54</f>
        <v>Encre</v>
      </c>
      <c r="I10" s="19">
        <f>'Scénario 2'!D54</f>
        <v>1.6228098E-2</v>
      </c>
      <c r="J10" s="19">
        <f>'Scénario 2'!E54</f>
        <v>2.0832832128234E-8</v>
      </c>
      <c r="K10" s="19">
        <f>'Scénario 2'!F54</f>
        <v>3.2121259834529997E-3</v>
      </c>
      <c r="M10" s="19" t="str">
        <f>'Scénario 3'!C54</f>
        <v>Encre</v>
      </c>
      <c r="N10" s="19">
        <f>'Scénario 3'!D54</f>
        <v>1.6228098E-2</v>
      </c>
      <c r="O10" s="19">
        <f>'Scénario 3'!E54</f>
        <v>2.0832832128234E-8</v>
      </c>
      <c r="P10" s="19">
        <f>'Scénario 3'!F54</f>
        <v>3.2121259834529997E-3</v>
      </c>
    </row>
    <row r="27" spans="2:16" s="16" customFormat="1" ht="40.5" customHeight="1" x14ac:dyDescent="0.35">
      <c r="B27" s="17"/>
      <c r="C27" s="17" t="str">
        <f>'Scénario 1'!D56</f>
        <v>Réchauffement climatique en kg CO2 eq</v>
      </c>
      <c r="D27" s="17" t="str">
        <f>'Scénario 1'!E56</f>
        <v>Epuisement des ressources en USD2013</v>
      </c>
      <c r="E27" s="17" t="str">
        <f>'Scénario 1'!F56</f>
        <v>Santé humaine en DALY</v>
      </c>
      <c r="H27" s="17"/>
      <c r="I27" s="17" t="str">
        <f>'Scénario 2'!D56</f>
        <v>Réchauffement climatique en kg CO2 eq</v>
      </c>
      <c r="J27" s="17" t="str">
        <f>'Scénario 2'!E56</f>
        <v>Epuisement des ressources en USD2013</v>
      </c>
      <c r="K27" s="17" t="str">
        <f>'Scénario 2'!F56</f>
        <v>Santé humaine en DALY</v>
      </c>
      <c r="M27" s="17"/>
      <c r="N27" s="17" t="str">
        <f>'Scénario 3'!D56</f>
        <v>Réchauffement climatique en kg CO2 eq</v>
      </c>
      <c r="O27" s="17" t="str">
        <f>'Scénario 3'!E56</f>
        <v>Epuisement des ressources en USD2013</v>
      </c>
      <c r="P27" s="17" t="str">
        <f>'Scénario 3'!F56</f>
        <v>Santé humaine en DALY</v>
      </c>
    </row>
    <row r="28" spans="2:16" ht="29" x14ac:dyDescent="0.35">
      <c r="B28" s="18" t="str">
        <f>'Scénario 1'!C57</f>
        <v>Production des composants</v>
      </c>
      <c r="C28" s="19">
        <f>'Scénario 1'!D57</f>
        <v>9.5579207200000002E-2</v>
      </c>
      <c r="D28" s="19">
        <f>'Scénario 1'!E57</f>
        <v>1.215111174155639E-7</v>
      </c>
      <c r="E28" s="19">
        <f>'Scénario 1'!F57</f>
        <v>2.6621465442863999E-2</v>
      </c>
      <c r="H28" s="18" t="str">
        <f>'Scénario 2'!C57</f>
        <v>Production des composants</v>
      </c>
      <c r="I28" s="19">
        <f>'Scénario 2'!D57</f>
        <v>7.4900270099999999E-2</v>
      </c>
      <c r="J28" s="19">
        <f>'Scénario 2'!E57</f>
        <v>8.943902839035289E-8</v>
      </c>
      <c r="K28" s="19">
        <f>'Scénario 2'!F57</f>
        <v>1.4559178427893499E-2</v>
      </c>
      <c r="M28" s="19" t="str">
        <f>'Scénario 3'!C57</f>
        <v>Production des composants</v>
      </c>
      <c r="N28" s="19">
        <f>'Scénario 3'!D57</f>
        <v>7.1191187733333341E-2</v>
      </c>
      <c r="O28" s="19">
        <f>'Scénario 3'!E57</f>
        <v>8.8751782866643735E-8</v>
      </c>
      <c r="P28" s="19">
        <f>'Scénario 3'!F57</f>
        <v>1.3925354226533E-2</v>
      </c>
    </row>
    <row r="29" spans="2:16" x14ac:dyDescent="0.35">
      <c r="B29" s="18" t="str">
        <f>'Scénario 1'!C58</f>
        <v>Transport du corps</v>
      </c>
      <c r="C29" s="19">
        <f>'Scénario 1'!D58</f>
        <v>1.7047772693999999E-4</v>
      </c>
      <c r="D29" s="19">
        <f>'Scénario 1'!E58</f>
        <v>2.5534107313230564E-10</v>
      </c>
      <c r="E29" s="19">
        <f>'Scénario 1'!F58</f>
        <v>2.58469413037395E-5</v>
      </c>
      <c r="H29" s="18" t="str">
        <f>'Scénario 2'!C58</f>
        <v>Transport du corps</v>
      </c>
      <c r="I29" s="19">
        <f>'Scénario 2'!D58</f>
        <v>1.7047772693999999E-4</v>
      </c>
      <c r="J29" s="19">
        <f>'Scénario 2'!E58</f>
        <v>2.5534107313230564E-10</v>
      </c>
      <c r="K29" s="19">
        <f>'Scénario 2'!F58</f>
        <v>2.58469413037395E-5</v>
      </c>
      <c r="M29" s="19" t="str">
        <f>'Scénario 3'!C58</f>
        <v>Transport du corps</v>
      </c>
      <c r="N29" s="19">
        <f>'Scénario 3'!D58</f>
        <v>4.5460727183999995E-5</v>
      </c>
      <c r="O29" s="19">
        <f>'Scénario 3'!E58</f>
        <v>6.8090952835281504E-11</v>
      </c>
      <c r="P29" s="19">
        <f>'Scénario 3'!F58</f>
        <v>6.8925176809971994E-6</v>
      </c>
    </row>
    <row r="30" spans="2:16" ht="29" x14ac:dyDescent="0.35">
      <c r="B30" s="18" t="str">
        <f>'Scénario 1'!C59</f>
        <v>Assemblage marqueur</v>
      </c>
      <c r="C30" s="19">
        <f>'Scénario 1'!D59</f>
        <v>5.4756795E-4</v>
      </c>
      <c r="D30" s="19">
        <f>'Scénario 1'!E59</f>
        <v>1.0033521664724999E-9</v>
      </c>
      <c r="E30" s="19">
        <f>'Scénario 1'!F59</f>
        <v>6.3113893019999993E-5</v>
      </c>
      <c r="H30" s="18" t="str">
        <f>'Scénario 2'!C59</f>
        <v>Assemblage marqueur</v>
      </c>
      <c r="I30" s="19">
        <f>'Scénario 2'!D59</f>
        <v>5.4756795E-4</v>
      </c>
      <c r="J30" s="19">
        <f>'Scénario 2'!E59</f>
        <v>1.0033521664724999E-9</v>
      </c>
      <c r="K30" s="19">
        <f>'Scénario 2'!F59</f>
        <v>6.3113893019999993E-5</v>
      </c>
      <c r="M30" s="19" t="str">
        <f>'Scénario 3'!C59</f>
        <v>Assemblage marqueur</v>
      </c>
      <c r="N30" s="19">
        <f>'Scénario 3'!D59</f>
        <v>4.1371800666666672E-4</v>
      </c>
      <c r="O30" s="19">
        <f>'Scénario 3'!E59</f>
        <v>7.5808830355699998E-10</v>
      </c>
      <c r="P30" s="19">
        <f>'Scénario 3'!F59</f>
        <v>4.7686052504000005E-5</v>
      </c>
    </row>
    <row r="31" spans="2:16" x14ac:dyDescent="0.35">
      <c r="B31" s="18" t="str">
        <f>'Scénario 1'!C60</f>
        <v>Total production</v>
      </c>
      <c r="C31" s="19">
        <f>'Scénario 1'!D60</f>
        <v>9.6297252876939993E-2</v>
      </c>
      <c r="D31" s="19">
        <f>'Scénario 1'!E60</f>
        <v>1.2276981065516871E-7</v>
      </c>
      <c r="E31" s="19">
        <f>'Scénario 1'!F60</f>
        <v>2.6710426277187737E-2</v>
      </c>
      <c r="H31" s="18" t="str">
        <f>'Scénario 2'!C60</f>
        <v>Total production</v>
      </c>
      <c r="I31" s="19">
        <f>'Scénario 2'!D60</f>
        <v>7.561831577693999E-2</v>
      </c>
      <c r="J31" s="19">
        <f>'Scénario 2'!E60</f>
        <v>9.0697721629957689E-8</v>
      </c>
      <c r="K31" s="19">
        <f>'Scénario 2'!F60</f>
        <v>1.4648139262217238E-2</v>
      </c>
      <c r="M31" s="19" t="str">
        <f>'Scénario 3'!C60</f>
        <v>Total production</v>
      </c>
      <c r="N31" s="19">
        <f>'Scénario 3'!D60</f>
        <v>7.1650366467184007E-2</v>
      </c>
      <c r="O31" s="19">
        <f>'Scénario 3'!E60</f>
        <v>8.9577962123036013E-8</v>
      </c>
      <c r="P31" s="19">
        <f>'Scénario 3'!F60</f>
        <v>1.3979932796717996E-2</v>
      </c>
    </row>
    <row r="48" spans="2:16" s="16" customFormat="1" ht="40.5" customHeight="1" x14ac:dyDescent="0.35">
      <c r="B48" s="17"/>
      <c r="C48" s="17" t="str">
        <f>'Scénario 1'!D62</f>
        <v>Réchauffement climatique en kg CO2 eq</v>
      </c>
      <c r="D48" s="17" t="str">
        <f>'Scénario 1'!E62</f>
        <v>Epuisement des ressources en USD2013</v>
      </c>
      <c r="E48" s="17" t="str">
        <f>'Scénario 1'!F62</f>
        <v>Santé humaine en DALY</v>
      </c>
      <c r="H48" s="17"/>
      <c r="I48" s="17" t="str">
        <f>'Scénario 2'!D62</f>
        <v>Réchauffement climatique en kg CO2 eq</v>
      </c>
      <c r="J48" s="17" t="str">
        <f>'Scénario 2'!E62</f>
        <v>Epuisement des ressources en USD2013</v>
      </c>
      <c r="K48" s="17" t="str">
        <f>'Scénario 2'!F62</f>
        <v>Santé humaine en DALY</v>
      </c>
      <c r="M48" s="17"/>
      <c r="N48" s="17" t="str">
        <f>'Scénario 3'!D62</f>
        <v>Réchauffement climatique en kg CO2 eq</v>
      </c>
      <c r="O48" s="17" t="str">
        <f>'Scénario 3'!E62</f>
        <v>Epuisement des ressources en USD2013</v>
      </c>
      <c r="P48" s="17" t="str">
        <f>'Scénario 3'!F62</f>
        <v>Santé humaine en DALY</v>
      </c>
    </row>
    <row r="49" spans="2:16" x14ac:dyDescent="0.35">
      <c r="B49" s="18" t="str">
        <f>'Scénario 1'!C63</f>
        <v>Production</v>
      </c>
      <c r="C49" s="19">
        <f>'Scénario 1'!D63</f>
        <v>9.6297252876939993E-2</v>
      </c>
      <c r="D49" s="19">
        <f>'Scénario 1'!E63</f>
        <v>1.2276981065516871E-7</v>
      </c>
      <c r="E49" s="19">
        <f>'Scénario 1'!F63</f>
        <v>2.6710426277187737E-2</v>
      </c>
      <c r="H49" s="18" t="str">
        <f>'Scénario 2'!C63</f>
        <v>Production</v>
      </c>
      <c r="I49" s="19">
        <f>'Scénario 2'!D63</f>
        <v>7.561831577693999E-2</v>
      </c>
      <c r="J49" s="19">
        <f>'Scénario 2'!E63</f>
        <v>9.0697721629957689E-8</v>
      </c>
      <c r="K49" s="19">
        <f>'Scénario 2'!F63</f>
        <v>1.4648139262217238E-2</v>
      </c>
      <c r="M49" s="19" t="str">
        <f>'Scénario 3'!C63</f>
        <v>Production</v>
      </c>
      <c r="N49" s="19">
        <f>'Scénario 3'!D63</f>
        <v>7.1650366467184007E-2</v>
      </c>
      <c r="O49" s="19">
        <f>'Scénario 3'!E63</f>
        <v>8.9577962123036013E-8</v>
      </c>
      <c r="P49" s="19">
        <f>'Scénario 3'!F63</f>
        <v>1.3979932796717996E-2</v>
      </c>
    </row>
    <row r="50" spans="2:16" x14ac:dyDescent="0.35">
      <c r="B50" s="18" t="str">
        <f>'Scénario 1'!C64</f>
        <v>Distribution</v>
      </c>
      <c r="C50" s="19">
        <f>'Scénario 1'!D64</f>
        <v>5.2572221333333337E-4</v>
      </c>
      <c r="D50" s="19">
        <f>'Scénario 1'!E64</f>
        <v>5.6845122550540003E-10</v>
      </c>
      <c r="E50" s="19">
        <f>'Scénario 1'!F64</f>
        <v>7.8986825841800007E-5</v>
      </c>
      <c r="H50" s="18" t="str">
        <f>'Scénario 2'!C64</f>
        <v>Distribution</v>
      </c>
      <c r="I50" s="19">
        <f>'Scénario 2'!D64</f>
        <v>5.2572221333333337E-4</v>
      </c>
      <c r="J50" s="19">
        <f>'Scénario 2'!E64</f>
        <v>5.6845122550540003E-10</v>
      </c>
      <c r="K50" s="19">
        <f>'Scénario 2'!F64</f>
        <v>7.8986825841800007E-5</v>
      </c>
      <c r="M50" s="19" t="str">
        <f>'Scénario 3'!C64</f>
        <v>Distribution</v>
      </c>
      <c r="N50" s="19">
        <f>'Scénario 3'!D64</f>
        <v>5.2572221333333337E-4</v>
      </c>
      <c r="O50" s="19">
        <f>'Scénario 3'!E64</f>
        <v>5.6845122550540003E-10</v>
      </c>
      <c r="P50" s="19">
        <f>'Scénario 3'!F64</f>
        <v>7.8986825841800007E-5</v>
      </c>
    </row>
    <row r="51" spans="2:16" x14ac:dyDescent="0.35">
      <c r="B51" s="18" t="str">
        <f>'Scénario 1'!C65</f>
        <v>Utilisation</v>
      </c>
      <c r="C51" s="19">
        <f>'Scénario 1'!D65</f>
        <v>0</v>
      </c>
      <c r="D51" s="19">
        <f>'Scénario 1'!E65</f>
        <v>2.1809999999999998E-9</v>
      </c>
      <c r="E51" s="19">
        <f>'Scénario 1'!F65</f>
        <v>0</v>
      </c>
      <c r="H51" s="18" t="str">
        <f>'Scénario 2'!C65</f>
        <v>Utilisation</v>
      </c>
      <c r="I51" s="19">
        <f>'Scénario 2'!D65</f>
        <v>0</v>
      </c>
      <c r="J51" s="19">
        <f>'Scénario 2'!E65</f>
        <v>2.1809999999999998E-9</v>
      </c>
      <c r="K51" s="19">
        <f>'Scénario 2'!F65</f>
        <v>0</v>
      </c>
      <c r="M51" s="19" t="str">
        <f>'Scénario 3'!C65</f>
        <v>Utilisation</v>
      </c>
      <c r="N51" s="19">
        <f>'Scénario 3'!D65</f>
        <v>0</v>
      </c>
      <c r="O51" s="19">
        <f>'Scénario 3'!E65</f>
        <v>2.1809999999999998E-9</v>
      </c>
      <c r="P51" s="19">
        <f>'Scénario 3'!F65</f>
        <v>0</v>
      </c>
    </row>
    <row r="52" spans="2:16" x14ac:dyDescent="0.35">
      <c r="B52" s="18" t="str">
        <f>'Scénario 1'!C66</f>
        <v>Fin de vie</v>
      </c>
      <c r="C52" s="19">
        <f>'Scénario 1'!D66</f>
        <v>1.5881617025333336E-3</v>
      </c>
      <c r="D52" s="19">
        <f>'Scénario 1'!E66</f>
        <v>1.5787446761045099E-11</v>
      </c>
      <c r="E52" s="19">
        <f>'Scénario 1'!F66</f>
        <v>1.0686058812E-6</v>
      </c>
      <c r="H52" s="18" t="str">
        <f>'Scénario 2'!C66</f>
        <v>Fin de vie</v>
      </c>
      <c r="I52" s="19">
        <f>'Scénario 2'!D66</f>
        <v>1.5881617025333336E-3</v>
      </c>
      <c r="J52" s="19">
        <f>'Scénario 2'!E66</f>
        <v>1.5787446761045099E-11</v>
      </c>
      <c r="K52" s="19">
        <f>'Scénario 2'!F66</f>
        <v>1.0686058812E-6</v>
      </c>
      <c r="M52" s="19" t="str">
        <f>'Scénario 3'!C66</f>
        <v>Fin de vie</v>
      </c>
      <c r="N52" s="19">
        <f>'Scénario 3'!D66</f>
        <v>-9.9669981888400021E-3</v>
      </c>
      <c r="O52" s="19">
        <f>'Scénario 3'!E66</f>
        <v>-2.1874267734191648E-4</v>
      </c>
      <c r="P52" s="19">
        <f>'Scénario 3'!F66</f>
        <v>-3.2179257489124003E-4</v>
      </c>
    </row>
    <row r="53" spans="2:16" x14ac:dyDescent="0.35">
      <c r="B53" s="18" t="str">
        <f>'Scénario 1'!C67</f>
        <v>Total</v>
      </c>
      <c r="C53" s="19">
        <f>'Scénario 1'!D67</f>
        <v>9.841113679280665E-2</v>
      </c>
      <c r="D53" s="19">
        <f>'Scénario 1'!E67</f>
        <v>1.2553504932743518E-7</v>
      </c>
      <c r="E53" s="19">
        <f>'Scénario 1'!F67</f>
        <v>2.6790481708910737E-2</v>
      </c>
      <c r="H53" s="18" t="str">
        <f>'Scénario 2'!C67</f>
        <v>Total</v>
      </c>
      <c r="I53" s="19">
        <f>'Scénario 2'!D67</f>
        <v>7.7732199692806647E-2</v>
      </c>
      <c r="J53" s="19">
        <f>'Scénario 2'!E67</f>
        <v>9.346296030222413E-8</v>
      </c>
      <c r="K53" s="19">
        <f>'Scénario 2'!F67</f>
        <v>1.4728194693940239E-2</v>
      </c>
      <c r="M53" s="19" t="str">
        <f>'Scénario 3'!C67</f>
        <v>Total</v>
      </c>
      <c r="N53" s="19">
        <f>'Scénario 3'!D67</f>
        <v>6.2209090491677332E-2</v>
      </c>
      <c r="O53" s="19">
        <f>'Scénario 3'!E67</f>
        <v>-2.1865034992856795E-4</v>
      </c>
      <c r="P53" s="19">
        <f>'Scénario 3'!F67</f>
        <v>1.3737127047668557E-2</v>
      </c>
    </row>
  </sheetData>
  <mergeCells count="3">
    <mergeCell ref="H2:K2"/>
    <mergeCell ref="B2:E2"/>
    <mergeCell ref="M2:P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Infos générales + guide</vt:lpstr>
      <vt:lpstr>Scénario 1</vt:lpstr>
      <vt:lpstr>Scénario 2</vt:lpstr>
      <vt:lpstr>Scénario 3</vt:lpstr>
      <vt:lpstr>Comparaison des scénarios</vt:lpstr>
      <vt:lpstr>Synthèse par scénario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IJASSI Walid (ijassiw)</dc:creator>
  <cp:lastModifiedBy>IJASSI Walid (ijassiw)</cp:lastModifiedBy>
  <dcterms:created xsi:type="dcterms:W3CDTF">2026-04-23T11:38:52Z</dcterms:created>
  <dcterms:modified xsi:type="dcterms:W3CDTF">2026-04-30T09:21:09Z</dcterms:modified>
</cp:coreProperties>
</file>